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7" i="3" l="1"/>
  <c r="D327" i="3"/>
  <c r="C327" i="3"/>
  <c r="D326" i="3"/>
  <c r="C326" i="3"/>
  <c r="E320" i="3"/>
  <c r="D320" i="3"/>
  <c r="C320" i="3"/>
  <c r="E319" i="3"/>
  <c r="D319" i="3"/>
  <c r="C319" i="3"/>
  <c r="D315" i="3"/>
  <c r="C315" i="3"/>
  <c r="D312" i="3"/>
  <c r="C312" i="3"/>
  <c r="D310" i="3"/>
  <c r="G310" i="3" s="1"/>
  <c r="C310" i="3"/>
  <c r="E308" i="3"/>
  <c r="D308" i="3"/>
  <c r="C308" i="3"/>
  <c r="E307" i="3"/>
  <c r="D307" i="3"/>
  <c r="C307" i="3"/>
  <c r="D306" i="3"/>
  <c r="C306" i="3"/>
  <c r="D304" i="3"/>
  <c r="C304" i="3"/>
  <c r="D302" i="3"/>
  <c r="C302" i="3"/>
  <c r="D295" i="3"/>
  <c r="G295" i="3" s="1"/>
  <c r="C295" i="3"/>
  <c r="D294" i="3"/>
  <c r="C294" i="3"/>
  <c r="D293" i="3"/>
  <c r="C293" i="3"/>
  <c r="D292" i="3"/>
  <c r="C292" i="3"/>
  <c r="D289" i="3"/>
  <c r="C289" i="3"/>
  <c r="D288" i="3"/>
  <c r="C288" i="3"/>
  <c r="D286" i="3"/>
  <c r="C286" i="3"/>
  <c r="D285" i="3"/>
  <c r="C285" i="3"/>
  <c r="D284" i="3"/>
  <c r="C284" i="3"/>
  <c r="D280" i="3"/>
  <c r="C280" i="3"/>
  <c r="D278" i="3"/>
  <c r="C278" i="3"/>
  <c r="D262" i="3"/>
  <c r="C262" i="3"/>
  <c r="D260" i="3"/>
  <c r="C260" i="3"/>
  <c r="E260" i="3"/>
  <c r="D256" i="3"/>
  <c r="C256" i="3"/>
  <c r="E250" i="3"/>
  <c r="D250" i="3"/>
  <c r="C250" i="3"/>
  <c r="D249" i="3"/>
  <c r="C249" i="3"/>
  <c r="E248" i="3"/>
  <c r="D248" i="3"/>
  <c r="C248" i="3"/>
  <c r="D237" i="3"/>
  <c r="C237" i="3"/>
  <c r="D236" i="3"/>
  <c r="C236" i="3"/>
  <c r="D235" i="3"/>
  <c r="C235" i="3"/>
  <c r="D234" i="3"/>
  <c r="C234" i="3"/>
  <c r="D231" i="3"/>
  <c r="C231" i="3"/>
  <c r="D230" i="3"/>
  <c r="C230" i="3"/>
  <c r="D225" i="3"/>
  <c r="C225" i="3"/>
  <c r="D224" i="3"/>
  <c r="C224" i="3"/>
  <c r="D223" i="3"/>
  <c r="C223" i="3"/>
  <c r="D219" i="3"/>
  <c r="C219" i="3"/>
  <c r="D218" i="3"/>
  <c r="C218" i="3"/>
  <c r="D217" i="3"/>
  <c r="C217" i="3"/>
  <c r="D197" i="3" l="1"/>
  <c r="C197" i="3"/>
  <c r="E195" i="3"/>
  <c r="D195" i="3"/>
  <c r="C195" i="3"/>
  <c r="D179" i="3"/>
  <c r="C179" i="3"/>
  <c r="D178" i="3"/>
  <c r="C178" i="3"/>
  <c r="D170" i="3"/>
  <c r="C170" i="3"/>
  <c r="D169" i="3"/>
  <c r="C169" i="3"/>
  <c r="D168" i="3"/>
  <c r="C168" i="3"/>
  <c r="D167" i="3"/>
  <c r="C167" i="3"/>
  <c r="D164" i="3"/>
  <c r="C164" i="3"/>
  <c r="D163" i="3"/>
  <c r="C163" i="3"/>
  <c r="D158" i="3"/>
  <c r="C158" i="3"/>
  <c r="D157" i="3"/>
  <c r="C157" i="3"/>
  <c r="D156" i="3"/>
  <c r="C156" i="3"/>
  <c r="D152" i="3"/>
  <c r="C152" i="3"/>
  <c r="D151" i="3"/>
  <c r="C151" i="3"/>
  <c r="D150" i="3"/>
  <c r="C150" i="3"/>
  <c r="D122" i="3"/>
  <c r="C122" i="3"/>
  <c r="D116" i="3"/>
  <c r="C116" i="3"/>
  <c r="D112" i="3"/>
  <c r="C112" i="3"/>
  <c r="D111" i="3"/>
  <c r="C111" i="3"/>
  <c r="D110" i="3"/>
  <c r="C110" i="3"/>
  <c r="E103" i="3"/>
  <c r="E86" i="3"/>
  <c r="D86" i="3"/>
  <c r="C86" i="3"/>
  <c r="E85" i="3"/>
  <c r="D85" i="3"/>
  <c r="C85" i="3"/>
  <c r="D96" i="3"/>
  <c r="C96" i="3"/>
  <c r="D95" i="3"/>
  <c r="C95" i="3"/>
  <c r="D94" i="3"/>
  <c r="C94" i="3"/>
  <c r="D92" i="3"/>
  <c r="C92" i="3"/>
  <c r="D89" i="3"/>
  <c r="C89" i="3"/>
  <c r="D87" i="3"/>
  <c r="C87" i="3"/>
  <c r="D82" i="3"/>
  <c r="C82" i="3"/>
  <c r="D81" i="3"/>
  <c r="C81" i="3"/>
  <c r="D80" i="3"/>
  <c r="C80" i="3"/>
  <c r="D76" i="3"/>
  <c r="C76" i="3"/>
  <c r="E75" i="3"/>
  <c r="D75" i="3"/>
  <c r="C75" i="3"/>
  <c r="D73" i="3"/>
  <c r="C73" i="3"/>
  <c r="D103" i="3" l="1"/>
  <c r="C103" i="3"/>
  <c r="E58" i="3"/>
  <c r="D58" i="3"/>
  <c r="C58" i="3"/>
  <c r="D53" i="3"/>
  <c r="C53" i="3"/>
  <c r="D52" i="3"/>
  <c r="G52" i="3" s="1"/>
  <c r="C52" i="3"/>
  <c r="D46" i="3"/>
  <c r="G46" i="3" s="1"/>
  <c r="C46" i="3"/>
  <c r="D39" i="3"/>
  <c r="G39" i="3" s="1"/>
  <c r="C39" i="3"/>
  <c r="D38" i="3"/>
  <c r="G38" i="3" s="1"/>
  <c r="C38" i="3"/>
  <c r="D37" i="3"/>
  <c r="G37" i="3" s="1"/>
  <c r="C37" i="3"/>
  <c r="D36" i="3"/>
  <c r="G36" i="3" s="1"/>
  <c r="C36" i="3"/>
  <c r="D33" i="3"/>
  <c r="G33" i="3" s="1"/>
  <c r="C33" i="3"/>
  <c r="D32" i="3"/>
  <c r="G32" i="3" s="1"/>
  <c r="C32" i="3"/>
  <c r="D31" i="3"/>
  <c r="G31" i="3" s="1"/>
  <c r="C31" i="3"/>
  <c r="D30" i="3"/>
  <c r="G30" i="3" s="1"/>
  <c r="C30" i="3"/>
  <c r="D29" i="3"/>
  <c r="G29" i="3" s="1"/>
  <c r="C29" i="3"/>
  <c r="D25" i="3"/>
  <c r="G25" i="3" s="1"/>
  <c r="C25" i="3"/>
  <c r="D23" i="3"/>
  <c r="G23" i="3" s="1"/>
  <c r="C23" i="3"/>
  <c r="G332" i="3"/>
  <c r="F332" i="3"/>
  <c r="G331" i="3"/>
  <c r="F331" i="3"/>
  <c r="G318" i="3"/>
  <c r="F318" i="3"/>
  <c r="G324" i="3"/>
  <c r="F324" i="3"/>
  <c r="G329" i="3"/>
  <c r="F329" i="3"/>
  <c r="G328" i="3"/>
  <c r="F328" i="3"/>
  <c r="G327" i="3"/>
  <c r="F327" i="3"/>
  <c r="G326" i="3"/>
  <c r="F326" i="3"/>
  <c r="G325" i="3"/>
  <c r="F325" i="3"/>
  <c r="G323" i="3"/>
  <c r="F323" i="3"/>
  <c r="G322" i="3"/>
  <c r="F322" i="3"/>
  <c r="G321" i="3"/>
  <c r="F321" i="3"/>
  <c r="G320" i="3"/>
  <c r="F320" i="3"/>
  <c r="G319" i="3"/>
  <c r="F319" i="3"/>
  <c r="G317" i="3"/>
  <c r="F317" i="3"/>
  <c r="G316" i="3"/>
  <c r="F316" i="3"/>
  <c r="G315" i="3"/>
  <c r="F315" i="3"/>
  <c r="G314" i="3"/>
  <c r="F314" i="3"/>
  <c r="G313" i="3"/>
  <c r="F313" i="3"/>
  <c r="G312" i="3"/>
  <c r="F312" i="3"/>
  <c r="G311" i="3"/>
  <c r="F311" i="3"/>
  <c r="F310" i="3"/>
  <c r="G309" i="3"/>
  <c r="F309" i="3"/>
  <c r="G308" i="3"/>
  <c r="F308" i="3"/>
  <c r="G307" i="3"/>
  <c r="F307" i="3"/>
  <c r="G306" i="3"/>
  <c r="F306" i="3"/>
  <c r="G305" i="3"/>
  <c r="F305" i="3"/>
  <c r="G304" i="3"/>
  <c r="F304" i="3"/>
  <c r="G303" i="3"/>
  <c r="F303" i="3"/>
  <c r="G302" i="3"/>
  <c r="F302" i="3"/>
  <c r="G301" i="3"/>
  <c r="F301" i="3"/>
  <c r="G298" i="3"/>
  <c r="F298" i="3"/>
  <c r="G297" i="3"/>
  <c r="F297" i="3"/>
  <c r="G296" i="3"/>
  <c r="F296" i="3"/>
  <c r="F295" i="3"/>
  <c r="G294" i="3"/>
  <c r="F294" i="3"/>
  <c r="G293" i="3"/>
  <c r="F293" i="3"/>
  <c r="G292" i="3"/>
  <c r="F292" i="3"/>
  <c r="G291" i="3"/>
  <c r="F291" i="3"/>
  <c r="G290" i="3"/>
  <c r="F290" i="3"/>
  <c r="G289" i="3"/>
  <c r="F289" i="3"/>
  <c r="G288" i="3"/>
  <c r="F288" i="3"/>
  <c r="G287" i="3"/>
  <c r="F287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G280" i="3"/>
  <c r="F280" i="3"/>
  <c r="G279" i="3"/>
  <c r="F279" i="3"/>
  <c r="G278" i="3"/>
  <c r="F278" i="3"/>
  <c r="G299" i="3"/>
  <c r="F299" i="3"/>
  <c r="G277" i="3"/>
  <c r="F277" i="3"/>
  <c r="G276" i="3"/>
  <c r="F276" i="3"/>
  <c r="G274" i="3"/>
  <c r="F274" i="3"/>
  <c r="G273" i="3"/>
  <c r="F273" i="3"/>
  <c r="G272" i="3"/>
  <c r="F272" i="3"/>
  <c r="G271" i="3"/>
  <c r="F271" i="3"/>
  <c r="G259" i="3"/>
  <c r="F259" i="3"/>
  <c r="G252" i="3"/>
  <c r="F252" i="3"/>
  <c r="G269" i="3"/>
  <c r="F269" i="3"/>
  <c r="G261" i="3"/>
  <c r="F261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0" i="3"/>
  <c r="F260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29" i="3"/>
  <c r="F229" i="3"/>
  <c r="G228" i="3"/>
  <c r="F228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41" i="3"/>
  <c r="F241" i="3"/>
  <c r="G216" i="3"/>
  <c r="F216" i="3"/>
  <c r="G215" i="3"/>
  <c r="F215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196" i="3"/>
  <c r="F19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4" i="3"/>
  <c r="F174" i="3"/>
  <c r="G162" i="3"/>
  <c r="F162" i="3"/>
  <c r="G173" i="3"/>
  <c r="F173" i="3"/>
  <c r="G161" i="3"/>
  <c r="F161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75" i="3"/>
  <c r="F175" i="3"/>
  <c r="G149" i="3"/>
  <c r="F149" i="3"/>
  <c r="G148" i="3"/>
  <c r="F148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39" i="3"/>
  <c r="F139" i="3"/>
  <c r="G138" i="3"/>
  <c r="F138" i="3"/>
  <c r="G137" i="3"/>
  <c r="F137" i="3"/>
  <c r="G136" i="3"/>
  <c r="F136" i="3"/>
  <c r="G135" i="3"/>
  <c r="F135" i="3"/>
  <c r="G113" i="3"/>
  <c r="F113" i="3"/>
  <c r="G133" i="3"/>
  <c r="F133" i="3"/>
  <c r="G120" i="3"/>
  <c r="F120" i="3"/>
  <c r="G112" i="3"/>
  <c r="F112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G105" i="3"/>
  <c r="F105" i="3"/>
  <c r="G104" i="3"/>
  <c r="F104" i="3"/>
  <c r="G102" i="3"/>
  <c r="F102" i="3"/>
  <c r="G99" i="3"/>
  <c r="F99" i="3"/>
  <c r="G93" i="3"/>
  <c r="F93" i="3"/>
  <c r="G88" i="3"/>
  <c r="F88" i="3"/>
  <c r="G83" i="3"/>
  <c r="F83" i="3"/>
  <c r="G74" i="3"/>
  <c r="F74" i="3"/>
  <c r="G98" i="3"/>
  <c r="F98" i="3"/>
  <c r="G86" i="3"/>
  <c r="F86" i="3"/>
  <c r="G85" i="3"/>
  <c r="F85" i="3"/>
  <c r="G97" i="3"/>
  <c r="F97" i="3"/>
  <c r="G96" i="3"/>
  <c r="F96" i="3"/>
  <c r="G95" i="3"/>
  <c r="F95" i="3"/>
  <c r="G94" i="3"/>
  <c r="F94" i="3"/>
  <c r="G92" i="3"/>
  <c r="F92" i="3"/>
  <c r="G91" i="3"/>
  <c r="F91" i="3"/>
  <c r="G90" i="3"/>
  <c r="F90" i="3"/>
  <c r="G89" i="3"/>
  <c r="F89" i="3"/>
  <c r="G87" i="3"/>
  <c r="F87" i="3"/>
  <c r="G84" i="3"/>
  <c r="F84" i="3"/>
  <c r="G82" i="3"/>
  <c r="F82" i="3"/>
  <c r="G81" i="3"/>
  <c r="F81" i="3"/>
  <c r="G80" i="3"/>
  <c r="F80" i="3"/>
  <c r="G79" i="3"/>
  <c r="F79" i="3"/>
  <c r="G78" i="3"/>
  <c r="F78" i="3"/>
  <c r="G77" i="3"/>
  <c r="F77" i="3"/>
  <c r="G76" i="3"/>
  <c r="F76" i="3"/>
  <c r="G75" i="3"/>
  <c r="F75" i="3"/>
  <c r="G73" i="3"/>
  <c r="F73" i="3"/>
  <c r="G100" i="3"/>
  <c r="F100" i="3"/>
  <c r="G72" i="3"/>
  <c r="F72" i="3"/>
  <c r="G71" i="3"/>
  <c r="F71" i="3"/>
  <c r="G69" i="3"/>
  <c r="F69" i="3"/>
  <c r="G68" i="3"/>
  <c r="F68" i="3"/>
  <c r="G67" i="3"/>
  <c r="F67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7" i="3"/>
  <c r="F57" i="3"/>
  <c r="G56" i="3"/>
  <c r="F56" i="3"/>
  <c r="G55" i="3"/>
  <c r="F55" i="3"/>
  <c r="G54" i="3"/>
  <c r="F54" i="3"/>
  <c r="G51" i="3"/>
  <c r="F51" i="3"/>
  <c r="G50" i="3"/>
  <c r="F50" i="3"/>
  <c r="G49" i="3"/>
  <c r="F49" i="3"/>
  <c r="G48" i="3"/>
  <c r="F48" i="3"/>
  <c r="G47" i="3"/>
  <c r="F47" i="3"/>
  <c r="G45" i="3"/>
  <c r="F45" i="3"/>
  <c r="G42" i="3"/>
  <c r="F42" i="3"/>
  <c r="G41" i="3"/>
  <c r="F41" i="3"/>
  <c r="G40" i="3"/>
  <c r="F40" i="3"/>
  <c r="G35" i="3"/>
  <c r="F35" i="3"/>
  <c r="G34" i="3"/>
  <c r="F34" i="3"/>
  <c r="G28" i="3"/>
  <c r="F28" i="3"/>
  <c r="G27" i="3"/>
  <c r="F27" i="3"/>
  <c r="G26" i="3"/>
  <c r="F26" i="3"/>
  <c r="G24" i="3"/>
  <c r="F24" i="3"/>
  <c r="G43" i="3"/>
  <c r="F43" i="3"/>
  <c r="G22" i="3"/>
  <c r="F22" i="3"/>
  <c r="G21" i="3"/>
  <c r="F21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58" i="3" l="1"/>
  <c r="F52" i="3"/>
  <c r="F103" i="3"/>
  <c r="G103" i="3"/>
  <c r="F37" i="3"/>
  <c r="F39" i="3"/>
  <c r="F58" i="3"/>
  <c r="F53" i="3"/>
  <c r="G53" i="3"/>
  <c r="F38" i="3"/>
  <c r="F46" i="3"/>
  <c r="F23" i="3"/>
  <c r="F31" i="3"/>
  <c r="F33" i="3"/>
  <c r="F36" i="3"/>
  <c r="F32" i="3"/>
  <c r="F29" i="3"/>
  <c r="F30" i="3"/>
  <c r="F25" i="3"/>
</calcChain>
</file>

<file path=xl/sharedStrings.xml><?xml version="1.0" encoding="utf-8"?>
<sst xmlns="http://schemas.openxmlformats.org/spreadsheetml/2006/main" count="340" uniqueCount="123">
  <si>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</si>
  <si>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</si>
  <si>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</si>
  <si>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</si>
  <si>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</si>
  <si>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</si>
  <si>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</si>
  <si>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</si>
  <si>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</si>
  <si>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Current Appropriation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</si>
  <si>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</si>
  <si>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Personal Services                                                                                                                                                                                                                 </t>
  </si>
  <si>
    <t xml:space="preserve">          b.) Maintenance &amp; Other Operating Expenses                                                                                                                                                                                            </t>
  </si>
  <si>
    <t xml:space="preserve">          c.)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</si>
  <si>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</si>
  <si>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Personal Services                                                                                                                                                                                                            </t>
  </si>
  <si>
    <t xml:space="preserve">               b.) Maintenance &amp; Other Operating Expenses                                                                                                                                                                                       </t>
  </si>
  <si>
    <t xml:space="preserve">               c.)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</si>
  <si>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</si>
  <si>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Personal Services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</si>
  <si>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- Mpbf                                                                                                                                                                              </t>
  </si>
  <si>
    <t xml:space="preserve">                                   Salaries And Wages - Regular                                                                                                                                                                                 </t>
  </si>
  <si>
    <t xml:space="preserve">                                   Salaries And Wages - Casual / Contractual                                                                                                                                                                    </t>
  </si>
  <si>
    <t xml:space="preserve">                                   Personal Economic Relief Allowance (pera)                                                                                                                                                                    </t>
  </si>
  <si>
    <t xml:space="preserve">                                   Representation Allowance (ra)                                                                                                                                                                                </t>
  </si>
  <si>
    <t xml:space="preserve">                                   Transportation Allowance (ta)                                                                                                                                                                                </t>
  </si>
  <si>
    <t xml:space="preserve">                                   Clothing/uniform Allowance                                                                                                                                                                                   </t>
  </si>
  <si>
    <t xml:space="preserve">                                   Subsistence Allowance                                                                                                                                                                                        </t>
  </si>
  <si>
    <t xml:space="preserve">                                   Laundry Allowance                                                                                                                                                                                            </t>
  </si>
  <si>
    <t xml:space="preserve">                                   Hazard Pay                                                                                                                                                                                                   </t>
  </si>
  <si>
    <t xml:space="preserve">                                   Year End Bonus                                                                                                                                                                                               </t>
  </si>
  <si>
    <t xml:space="preserve">                                   Cash Gift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</si>
  <si>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Bonuses And Allowances - Medical Allowance                                                                                                                                                             </t>
  </si>
  <si>
    <t xml:space="preserve">                                   Other Bonuses And Allowances - Mid Year Bonus 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</si>
  <si>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                                                                                                                                                                      </t>
  </si>
  <si>
    <t xml:space="preserve">                                   Pag-ibig Contributions                                                                                                                                                                                       </t>
  </si>
  <si>
    <t xml:space="preserve">                                   Philhealth Contributions                                                                                                                                                                                     </t>
  </si>
  <si>
    <t xml:space="preserve">                                   Employees Compensation Insurance Premiums                                                                                                                                                                    </t>
  </si>
  <si>
    <t xml:space="preserve">                                   Other Personnel Benefits - Pei                                                                                                                                                                               </t>
  </si>
  <si>
    <t xml:space="preserve">                                   Other Personnel Benefits                                                                                                                                                                                     </t>
  </si>
  <si>
    <t xml:space="preserve">                                   Productivity Enhancement Incentive (pei)                                                                                                                                                                     </t>
  </si>
  <si>
    <t xml:space="preserve">                         b.) Maintenance &amp; Other Operating Expenses                                                                                                                                                                             </t>
  </si>
  <si>
    <t xml:space="preserve">                                   Traveling Expenses - Local                                                                                                                                                                                   </t>
  </si>
  <si>
    <t xml:space="preserve">                                   Training Expenses                                                                                                                                                                                            </t>
  </si>
  <si>
    <t xml:space="preserve">                                   Office Supplies Expenses                                                                                                                                                                                     </t>
  </si>
  <si>
    <t xml:space="preserve">                                   Drugs And Medicines Expenses                                                                                                                                                                                 </t>
  </si>
  <si>
    <t xml:space="preserve">                                   Medical, Dental And Laboratory Supplies Expenses                                                                                                                                                             </t>
  </si>
  <si>
    <t xml:space="preserve">                                   Fuel, Oil And Lubricants Expenses                                                                                                                                                                            </t>
  </si>
  <si>
    <t xml:space="preserve">                                   Semi-expendable Machinery And Equipment Expenses                                                                                                                                                             </t>
  </si>
  <si>
    <t xml:space="preserve">                                   Semi-expendable Furniture, Fixtures And Books Expenses                                                                                                                                                       </t>
  </si>
  <si>
    <t xml:space="preserve">                                   Other Supplies And Materials Expenses                                                                                                                                                                        </t>
  </si>
  <si>
    <t xml:space="preserve">                                   Water Expenses                                                                                                                                                                                               </t>
  </si>
  <si>
    <t xml:space="preserve">                                   Postage And Courier Services                                                                                                                                                                                 </t>
  </si>
  <si>
    <t xml:space="preserve">                                   Telephone Expenses-mobile                                                                                                                                                                                    </t>
  </si>
  <si>
    <t xml:space="preserve">                                   Other General Services                                                                                                                                                                                       </t>
  </si>
  <si>
    <t xml:space="preserve">                                   Repairs And Maintenance - Machinery And Equipment                                                                                                                                                            </t>
  </si>
  <si>
    <t xml:space="preserve">                                   Repairs And Maintenance - Transportation Equipment                                                                                                                                                           </t>
  </si>
  <si>
    <t xml:space="preserve">                                   Taxes, Duties And Licenses                                                                                                                                                                                   </t>
  </si>
  <si>
    <t xml:space="preserve">                                   Fidelity Bond Premiums                                                                                                                                                                                       </t>
  </si>
  <si>
    <t xml:space="preserve">                                   Printing And Publication Expenses                                                                                                                                                                            </t>
  </si>
  <si>
    <t xml:space="preserve">                                   Representation Expenses                                                                                                                                                                                      </t>
  </si>
  <si>
    <t xml:space="preserve">                                   Other Maintenance And Operating Expenses                                                                                                                                                                     </t>
  </si>
  <si>
    <t xml:space="preserve">                         c.)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</si>
  <si>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</si>
  <si>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</si>
  <si>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</si>
  <si>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Salaries And Wages - Casual/contractual                                                                                                                                                                      </t>
  </si>
  <si>
    <t xml:space="preserve">                                   Longevity Pay          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</si>
  <si>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- Casual (prior Years)                                                                                                                                                                </t>
  </si>
  <si>
    <t xml:space="preserve">                                   Overtime And Night Pay - Permanent (prior Years)                                                                                                                                                             </t>
  </si>
  <si>
    <t xml:space="preserve">                                   Salaries And Wages - Regular (prior Years)                                                                                                                                                                   </t>
  </si>
  <si>
    <t xml:space="preserve">                                   Hazard Pay - Prior Year                                                                                                                                                                                      </t>
  </si>
  <si>
    <t xml:space="preserve">                                   Overtime And Night Pay - Regular (prior Years)                                                                                                                                                               </t>
  </si>
  <si>
    <t xml:space="preserve">                                   Year End Bonus - Prior Year                                                                                                                                                                                  </t>
  </si>
  <si>
    <t xml:space="preserve">                                   Retirement And Life Insurance Premiums - Prior Year                                                                                                                                                          </t>
  </si>
  <si>
    <t xml:space="preserve">                                   Accountable Forms Expenses                                                                                                                                                                                   </t>
  </si>
  <si>
    <t xml:space="preserve">                                   Food Supplies Expenses                                                                                                                                                                                       </t>
  </si>
  <si>
    <t xml:space="preserve">                                   Other Supplies And Materials Expenses - Cooking Gas Expenses                                                                                                                                                 </t>
  </si>
  <si>
    <t xml:space="preserve">                                   Electricity Expenses                                                                                                                                                                                         </t>
  </si>
  <si>
    <t xml:space="preserve">                                   Internet Subcription Expenses                                                                                                                                                                                </t>
  </si>
  <si>
    <t xml:space="preserve">                                   Cable, Satellite, Telegraph And Radio Expenses                                                                                                                                                               </t>
  </si>
  <si>
    <t xml:space="preserve">                                   Repairs And Maintenance - Buildings And Other Structures                                                                                                                                                     </t>
  </si>
  <si>
    <t xml:space="preserve">                                   Repairs And Maintenance - Disaster Response And Rescue Equipment                                                                                                                                             </t>
  </si>
  <si>
    <t xml:space="preserve">                                   Repairs And Maintenance - Hospital Equipment                                                                                                                                                                 </t>
  </si>
  <si>
    <t xml:space="preserve">                                   Repairs And Maintenance - It Equipment                                                                                                                                                                       </t>
  </si>
  <si>
    <t xml:space="preserve">                                   Repairs And Maintenance - Office Equipment                                                                                                                                                                   </t>
  </si>
  <si>
    <t xml:space="preserve">                                   Rent Expenses                                                                                                                                                                                                </t>
  </si>
  <si>
    <t xml:space="preserve">                                   Membership Dues And Contributions To Organizations                                                                                                                                                           </t>
  </si>
  <si>
    <t xml:space="preserve">                                   Environment/sanitary Services                                                                                                                                                                                </t>
  </si>
  <si>
    <t xml:space="preserve">                                   Molecular Laboratory Operation                                                                                                                                                                               </t>
  </si>
  <si>
    <t xml:space="preserve">                                   Icte - Purchase Of Ict Equipments                                                                                                                                                                            </t>
  </si>
  <si>
    <t xml:space="preserve">                                   Medical Equipment - Purchase Of Hospital Equipments                                                                                                                                                          </t>
  </si>
  <si>
    <t xml:space="preserve">                                   Hospitals And Health Centers                                                                                                                                                                                 </t>
  </si>
  <si>
    <t xml:space="preserve">                                   Sb#1 Improvement Of Access Road To Emergency Room                                                                                                                                                            </t>
  </si>
  <si>
    <t xml:space="preserve">                                   Sb#1 Improvement Of Icu Roof Deck                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</si>
  <si>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</si>
  <si>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</si>
  <si>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Overtime And Night Pay                                                                                                                                                                                       </t>
  </si>
  <si>
    <t xml:space="preserve">                                   Terminal Leave Benefits                                                                                                                                                                                      </t>
  </si>
  <si>
    <t xml:space="preserve">                                   Other General Services - Prior Year                                         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</si>
  <si>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</si>
  <si>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</si>
  <si>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4. Davao De Oro Provincial Hospital-Laak                                                                                                                                                                                         </t>
  </si>
  <si>
    <t xml:space="preserve">4421-3    </t>
  </si>
  <si>
    <t xml:space="preserve">                                   Communication Equipment - Installation Of Internet Protocol Private Automated Branch Exchange (ippabx)                                                                                                       </t>
  </si>
  <si>
    <t xml:space="preserve">                                   Communication Equipment - Installation Of Paging System                                                                                                                                                      </t>
  </si>
  <si>
    <t xml:space="preserve">               5. Davao De Oro Provincial Hospital-Maragusan                                                                                                                                                                                    </t>
  </si>
  <si>
    <t xml:space="preserve">4421-4    </t>
  </si>
  <si>
    <t xml:space="preserve">                                   Medical Equipment - Purchase Of Anesthesia Machine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</si>
  <si>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</si>
  <si>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</si>
  <si>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</si>
  <si>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</si>
  <si>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MOOE-Regular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</si>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</sst>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3"/>
  <sheetViews>
    <sheetView tabSelected="1" workbookViewId="0">
      <selection activeCell="A8" sqref="A8"/>
    </sheetView>
  </sheetViews>
  <sheetFormatPr defaultRowHeight="15" x14ac:dyDescent="0.25"/>
  <cols>
    <col min="1" max="1" width="75.7109375" customWidth="1"/>
    <col min="2" max="2" width="9" bestFit="1" customWidth="1"/>
    <col min="3" max="5" width="15.28515625" style="4" bestFit="1" customWidth="1"/>
    <col min="6" max="6" width="14.28515625" style="4" bestFit="1" customWidth="1"/>
    <col min="7" max="7" width="15.28515625" style="4" bestFit="1" customWidth="1"/>
  </cols>
  <sheetData>
    <row r="1" spans="1:7" x14ac:dyDescent="0.25">
      <c r="A1" s="16" t="s">
        <v>109</v>
      </c>
      <c r="B1" s="16"/>
      <c r="C1" s="16"/>
      <c r="D1" s="16"/>
      <c r="E1" s="16"/>
      <c r="F1" s="16"/>
      <c r="G1" s="16"/>
    </row>
    <row r="2" spans="1:7" x14ac:dyDescent="0.25">
      <c r="A2" s="16" t="s">
        <v>110</v>
      </c>
      <c r="B2" s="16"/>
      <c r="C2" s="16"/>
      <c r="D2" s="16"/>
      <c r="E2" s="16"/>
      <c r="F2" s="16"/>
      <c r="G2" s="16"/>
    </row>
    <row r="3" spans="1:7" x14ac:dyDescent="0.25">
      <c r="A3" s="16" t="s">
        <v>111</v>
      </c>
      <c r="B3" s="16"/>
      <c r="C3" s="16"/>
      <c r="D3" s="16"/>
      <c r="E3" s="16"/>
      <c r="F3" s="16"/>
      <c r="G3" s="16"/>
    </row>
    <row r="5" spans="1:7" x14ac:dyDescent="0.25">
      <c r="A5" s="16" t="s">
        <v>0</v>
      </c>
      <c r="B5" s="16"/>
      <c r="C5" s="16"/>
      <c r="D5" s="16"/>
      <c r="E5" s="16"/>
      <c r="F5" s="16"/>
      <c r="G5" s="16"/>
    </row>
    <row r="6" spans="1:7" x14ac:dyDescent="0.25">
      <c r="A6" s="16" t="s">
        <v>112</v>
      </c>
      <c r="B6" s="16"/>
      <c r="C6" s="16"/>
      <c r="D6" s="16"/>
      <c r="E6" s="16"/>
      <c r="F6" s="16"/>
      <c r="G6" s="16"/>
    </row>
    <row r="8" spans="1:7" s="15" customFormat="1" ht="30" x14ac:dyDescent="0.25">
      <c r="A8" s="12" t="s">
        <v>1</v>
      </c>
      <c r="B8" s="12" t="s">
        <v>2</v>
      </c>
      <c r="C8" s="13" t="s">
        <v>3</v>
      </c>
      <c r="D8" s="13" t="s">
        <v>4</v>
      </c>
      <c r="E8" s="13" t="s">
        <v>5</v>
      </c>
      <c r="F8" s="14" t="s">
        <v>6</v>
      </c>
      <c r="G8" s="14" t="s">
        <v>7</v>
      </c>
    </row>
    <row r="10" spans="1:7" x14ac:dyDescent="0.25">
      <c r="A10" t="s">
        <v>8</v>
      </c>
      <c r="B10" s="2">
        <v>100</v>
      </c>
      <c r="C10" s="4">
        <v>803151584.97000003</v>
      </c>
      <c r="D10" s="4">
        <v>712322882.16999996</v>
      </c>
      <c r="E10" s="4">
        <v>389765296.27999997</v>
      </c>
      <c r="F10" s="4">
        <f t="shared" ref="F10:G14" si="0">C10-D10</f>
        <v>90828702.800000072</v>
      </c>
      <c r="G10" s="4">
        <f t="shared" si="0"/>
        <v>322557585.88999999</v>
      </c>
    </row>
    <row r="11" spans="1:7" x14ac:dyDescent="0.25">
      <c r="A11" t="s">
        <v>9</v>
      </c>
      <c r="B11" s="2" t="s">
        <v>10</v>
      </c>
      <c r="C11" s="4">
        <v>803151584.97000003</v>
      </c>
      <c r="D11" s="4">
        <v>712322882.16999996</v>
      </c>
      <c r="E11" s="4">
        <v>389765296.27999997</v>
      </c>
      <c r="F11" s="4">
        <f t="shared" si="0"/>
        <v>90828702.800000072</v>
      </c>
      <c r="G11" s="4">
        <f t="shared" si="0"/>
        <v>322557585.88999999</v>
      </c>
    </row>
    <row r="12" spans="1:7" x14ac:dyDescent="0.25">
      <c r="A12" t="s">
        <v>11</v>
      </c>
      <c r="B12" s="2" t="s">
        <v>10</v>
      </c>
      <c r="C12" s="4">
        <v>391803175.97000003</v>
      </c>
      <c r="D12" s="4">
        <v>340537062.17000002</v>
      </c>
      <c r="E12" s="4">
        <v>212521611.56</v>
      </c>
      <c r="F12" s="4">
        <f t="shared" si="0"/>
        <v>51266113.800000012</v>
      </c>
      <c r="G12" s="4">
        <f t="shared" si="0"/>
        <v>128015450.61000001</v>
      </c>
    </row>
    <row r="13" spans="1:7" x14ac:dyDescent="0.25">
      <c r="A13" t="s">
        <v>12</v>
      </c>
      <c r="B13" s="2" t="s">
        <v>10</v>
      </c>
      <c r="C13" s="4">
        <v>374177409</v>
      </c>
      <c r="D13" s="4">
        <v>339184820</v>
      </c>
      <c r="E13" s="4">
        <v>177243684.72</v>
      </c>
      <c r="F13" s="4">
        <f t="shared" si="0"/>
        <v>34992589</v>
      </c>
      <c r="G13" s="4">
        <f t="shared" si="0"/>
        <v>161941135.28</v>
      </c>
    </row>
    <row r="14" spans="1:7" x14ac:dyDescent="0.25">
      <c r="A14" t="s">
        <v>13</v>
      </c>
      <c r="B14" s="2" t="s">
        <v>10</v>
      </c>
      <c r="C14" s="4">
        <v>37171000</v>
      </c>
      <c r="D14" s="4">
        <v>32601000</v>
      </c>
      <c r="E14" s="4">
        <v>0</v>
      </c>
      <c r="F14" s="4">
        <f t="shared" si="0"/>
        <v>4570000</v>
      </c>
      <c r="G14" s="4">
        <f t="shared" si="0"/>
        <v>32601000</v>
      </c>
    </row>
    <row r="15" spans="1:7" x14ac:dyDescent="0.25">
      <c r="B15" s="2"/>
    </row>
    <row r="16" spans="1:7" x14ac:dyDescent="0.25">
      <c r="A16" t="s">
        <v>14</v>
      </c>
      <c r="B16" s="2" t="s">
        <v>10</v>
      </c>
      <c r="C16" s="4">
        <v>803151584.97000003</v>
      </c>
      <c r="D16" s="4">
        <v>712322882.16999996</v>
      </c>
      <c r="E16" s="4">
        <v>389765296.27999997</v>
      </c>
      <c r="F16" s="4">
        <f t="shared" ref="F16:G19" si="1">C16-D16</f>
        <v>90828702.800000072</v>
      </c>
      <c r="G16" s="4">
        <f t="shared" si="1"/>
        <v>322557585.88999999</v>
      </c>
    </row>
    <row r="17" spans="1:7" x14ac:dyDescent="0.25">
      <c r="A17" t="s">
        <v>15</v>
      </c>
      <c r="B17" s="2" t="s">
        <v>10</v>
      </c>
      <c r="C17" s="4">
        <v>391803175.97000003</v>
      </c>
      <c r="D17" s="4">
        <v>340537062.17000002</v>
      </c>
      <c r="E17" s="4">
        <v>212521611.56</v>
      </c>
      <c r="F17" s="4">
        <f t="shared" si="1"/>
        <v>51266113.800000012</v>
      </c>
      <c r="G17" s="4">
        <f t="shared" si="1"/>
        <v>128015450.61000001</v>
      </c>
    </row>
    <row r="18" spans="1:7" x14ac:dyDescent="0.25">
      <c r="A18" t="s">
        <v>16</v>
      </c>
      <c r="B18" s="2" t="s">
        <v>10</v>
      </c>
      <c r="C18" s="4">
        <v>374177409</v>
      </c>
      <c r="D18" s="4">
        <v>339184820</v>
      </c>
      <c r="E18" s="4">
        <v>177243684.72</v>
      </c>
      <c r="F18" s="4">
        <f t="shared" si="1"/>
        <v>34992589</v>
      </c>
      <c r="G18" s="4">
        <f t="shared" si="1"/>
        <v>161941135.28</v>
      </c>
    </row>
    <row r="19" spans="1:7" x14ac:dyDescent="0.25">
      <c r="A19" t="s">
        <v>17</v>
      </c>
      <c r="B19" s="2" t="s">
        <v>10</v>
      </c>
      <c r="C19" s="4">
        <v>37171000</v>
      </c>
      <c r="D19" s="4">
        <v>32601000</v>
      </c>
      <c r="E19" s="4">
        <v>0</v>
      </c>
      <c r="F19" s="4">
        <f t="shared" si="1"/>
        <v>4570000</v>
      </c>
      <c r="G19" s="4">
        <f t="shared" si="1"/>
        <v>32601000</v>
      </c>
    </row>
    <row r="20" spans="1:7" x14ac:dyDescent="0.25">
      <c r="B20" s="2"/>
    </row>
    <row r="21" spans="1:7" x14ac:dyDescent="0.25">
      <c r="A21" s="1" t="s">
        <v>18</v>
      </c>
      <c r="B21" s="3">
        <v>4421</v>
      </c>
      <c r="C21" s="5">
        <v>36116031.969999999</v>
      </c>
      <c r="D21" s="5">
        <v>20622360.210000001</v>
      </c>
      <c r="E21" s="5">
        <v>7752923.21</v>
      </c>
      <c r="F21" s="5">
        <f t="shared" ref="F21:F43" si="2">C21-D21</f>
        <v>15493671.759999998</v>
      </c>
      <c r="G21" s="5">
        <f t="shared" ref="G21:G43" si="3">D21-E21</f>
        <v>12869437</v>
      </c>
    </row>
    <row r="22" spans="1:7" s="7" customFormat="1" x14ac:dyDescent="0.25">
      <c r="A22" s="7" t="s">
        <v>19</v>
      </c>
      <c r="B22" s="9">
        <v>100</v>
      </c>
      <c r="C22" s="11">
        <v>27210572.969999999</v>
      </c>
      <c r="D22" s="11">
        <v>14094651.210000001</v>
      </c>
      <c r="E22" s="11">
        <v>4832315.0999999996</v>
      </c>
      <c r="F22" s="11">
        <f t="shared" si="2"/>
        <v>13115921.759999998</v>
      </c>
      <c r="G22" s="11">
        <f t="shared" si="3"/>
        <v>9262336.1100000013</v>
      </c>
    </row>
    <row r="23" spans="1:7" s="7" customFormat="1" x14ac:dyDescent="0.25">
      <c r="A23" s="6" t="s">
        <v>21</v>
      </c>
      <c r="B23" s="8">
        <v>50101010</v>
      </c>
      <c r="C23" s="10">
        <f>3535440+202555</f>
        <v>3737995</v>
      </c>
      <c r="D23" s="10">
        <f>3535440+202555</f>
        <v>3737995</v>
      </c>
      <c r="E23" s="10">
        <v>1475401.69</v>
      </c>
      <c r="F23" s="10">
        <f t="shared" si="2"/>
        <v>0</v>
      </c>
      <c r="G23" s="10">
        <f t="shared" si="3"/>
        <v>2262593.31</v>
      </c>
    </row>
    <row r="24" spans="1:7" x14ac:dyDescent="0.25">
      <c r="A24" t="s">
        <v>22</v>
      </c>
      <c r="B24" s="2">
        <v>50101020</v>
      </c>
      <c r="C24" s="4">
        <v>1742819</v>
      </c>
      <c r="D24" s="4">
        <v>871409.5</v>
      </c>
      <c r="E24" s="4">
        <v>104297.66</v>
      </c>
      <c r="F24" s="4">
        <f t="shared" si="2"/>
        <v>871409.5</v>
      </c>
      <c r="G24" s="4">
        <f t="shared" si="3"/>
        <v>767111.84</v>
      </c>
    </row>
    <row r="25" spans="1:7" x14ac:dyDescent="0.25">
      <c r="A25" t="s">
        <v>23</v>
      </c>
      <c r="B25" s="2">
        <v>50102010</v>
      </c>
      <c r="C25" s="4">
        <f>120000+20000</f>
        <v>140000</v>
      </c>
      <c r="D25" s="4">
        <f>120000+20000</f>
        <v>140000</v>
      </c>
      <c r="E25" s="4">
        <v>60000</v>
      </c>
      <c r="F25" s="4">
        <f t="shared" si="2"/>
        <v>0</v>
      </c>
      <c r="G25" s="4">
        <f t="shared" si="3"/>
        <v>80000</v>
      </c>
    </row>
    <row r="26" spans="1:7" x14ac:dyDescent="0.25">
      <c r="A26" t="s">
        <v>24</v>
      </c>
      <c r="B26" s="2">
        <v>50102020</v>
      </c>
      <c r="C26" s="4">
        <v>114000</v>
      </c>
      <c r="D26" s="4">
        <v>114000</v>
      </c>
      <c r="E26" s="4">
        <v>76000</v>
      </c>
      <c r="F26" s="4">
        <f t="shared" si="2"/>
        <v>0</v>
      </c>
      <c r="G26" s="4">
        <f t="shared" si="3"/>
        <v>38000</v>
      </c>
    </row>
    <row r="27" spans="1:7" x14ac:dyDescent="0.25">
      <c r="A27" t="s">
        <v>25</v>
      </c>
      <c r="B27" s="2">
        <v>50102030</v>
      </c>
      <c r="C27" s="4">
        <v>102000</v>
      </c>
      <c r="D27" s="4">
        <v>102000</v>
      </c>
      <c r="E27" s="4">
        <v>2375</v>
      </c>
      <c r="F27" s="4">
        <f t="shared" si="2"/>
        <v>0</v>
      </c>
      <c r="G27" s="4">
        <f t="shared" si="3"/>
        <v>99625</v>
      </c>
    </row>
    <row r="28" spans="1:7" x14ac:dyDescent="0.25">
      <c r="A28" t="s">
        <v>26</v>
      </c>
      <c r="B28" s="2">
        <v>50102040</v>
      </c>
      <c r="C28" s="4">
        <v>35000</v>
      </c>
      <c r="D28" s="4">
        <v>35000</v>
      </c>
      <c r="E28" s="4">
        <v>28000</v>
      </c>
      <c r="F28" s="4">
        <f t="shared" si="2"/>
        <v>0</v>
      </c>
      <c r="G28" s="4">
        <f t="shared" si="3"/>
        <v>7000</v>
      </c>
    </row>
    <row r="29" spans="1:7" x14ac:dyDescent="0.25">
      <c r="A29" t="s">
        <v>27</v>
      </c>
      <c r="B29" s="2">
        <v>50102050</v>
      </c>
      <c r="C29" s="4">
        <f>90000+15000</f>
        <v>105000</v>
      </c>
      <c r="D29" s="4">
        <f>90000+15000</f>
        <v>105000</v>
      </c>
      <c r="E29" s="4">
        <v>22550</v>
      </c>
      <c r="F29" s="4">
        <f t="shared" si="2"/>
        <v>0</v>
      </c>
      <c r="G29" s="4">
        <f t="shared" si="3"/>
        <v>82450</v>
      </c>
    </row>
    <row r="30" spans="1:7" x14ac:dyDescent="0.25">
      <c r="A30" t="s">
        <v>28</v>
      </c>
      <c r="B30" s="2">
        <v>50102060</v>
      </c>
      <c r="C30" s="4">
        <f>9000+1500</f>
        <v>10500</v>
      </c>
      <c r="D30" s="4">
        <f>9000+1500</f>
        <v>10500</v>
      </c>
      <c r="E30" s="4">
        <v>3136.39</v>
      </c>
      <c r="F30" s="4">
        <f t="shared" si="2"/>
        <v>0</v>
      </c>
      <c r="G30" s="4">
        <f t="shared" si="3"/>
        <v>7363.6100000000006</v>
      </c>
    </row>
    <row r="31" spans="1:7" x14ac:dyDescent="0.25">
      <c r="A31" t="s">
        <v>29</v>
      </c>
      <c r="B31" s="2">
        <v>50102110</v>
      </c>
      <c r="C31" s="4">
        <f>523697+50639</f>
        <v>574336</v>
      </c>
      <c r="D31" s="10">
        <f>523697+50639</f>
        <v>574336</v>
      </c>
      <c r="E31" s="4">
        <v>238371.63</v>
      </c>
      <c r="F31" s="4">
        <f t="shared" si="2"/>
        <v>0</v>
      </c>
      <c r="G31" s="4">
        <f t="shared" si="3"/>
        <v>335964.37</v>
      </c>
    </row>
    <row r="32" spans="1:7" x14ac:dyDescent="0.25">
      <c r="A32" t="s">
        <v>30</v>
      </c>
      <c r="B32" s="2">
        <v>50102140</v>
      </c>
      <c r="C32" s="4">
        <f>294620+40511</f>
        <v>335131</v>
      </c>
      <c r="D32" s="10">
        <f>294620+40511</f>
        <v>335131</v>
      </c>
      <c r="E32" s="4">
        <v>0</v>
      </c>
      <c r="F32" s="4">
        <f t="shared" si="2"/>
        <v>0</v>
      </c>
      <c r="G32" s="4">
        <f t="shared" si="3"/>
        <v>335131</v>
      </c>
    </row>
    <row r="33" spans="1:7" x14ac:dyDescent="0.25">
      <c r="A33" t="s">
        <v>31</v>
      </c>
      <c r="B33" s="2">
        <v>50102150</v>
      </c>
      <c r="C33" s="4">
        <f>25000+10000</f>
        <v>35000</v>
      </c>
      <c r="D33" s="10">
        <f>25000+10000</f>
        <v>35000</v>
      </c>
      <c r="E33" s="4">
        <v>0</v>
      </c>
      <c r="F33" s="4">
        <f t="shared" si="2"/>
        <v>0</v>
      </c>
      <c r="G33" s="4">
        <f t="shared" si="3"/>
        <v>35000</v>
      </c>
    </row>
    <row r="34" spans="1:7" x14ac:dyDescent="0.25">
      <c r="A34" t="s">
        <v>32</v>
      </c>
      <c r="B34" s="2">
        <v>50102990</v>
      </c>
      <c r="C34" s="4">
        <v>35000</v>
      </c>
      <c r="D34" s="4">
        <v>35000</v>
      </c>
      <c r="E34" s="4">
        <v>21000</v>
      </c>
      <c r="F34" s="4">
        <f t="shared" si="2"/>
        <v>0</v>
      </c>
      <c r="G34" s="4">
        <f t="shared" si="3"/>
        <v>14000</v>
      </c>
    </row>
    <row r="35" spans="1:7" x14ac:dyDescent="0.25">
      <c r="A35" t="s">
        <v>33</v>
      </c>
      <c r="B35" s="2">
        <v>50102990</v>
      </c>
      <c r="C35" s="4">
        <v>294620</v>
      </c>
      <c r="D35" s="4">
        <v>294620</v>
      </c>
      <c r="E35" s="4">
        <v>157140</v>
      </c>
      <c r="F35" s="4">
        <f t="shared" si="2"/>
        <v>0</v>
      </c>
      <c r="G35" s="4">
        <f t="shared" si="3"/>
        <v>137480</v>
      </c>
    </row>
    <row r="36" spans="1:7" x14ac:dyDescent="0.25">
      <c r="A36" t="s">
        <v>34</v>
      </c>
      <c r="B36" s="2">
        <v>50103010</v>
      </c>
      <c r="C36" s="4">
        <f>424253+24307</f>
        <v>448560</v>
      </c>
      <c r="D36" s="10">
        <f>424253+24307</f>
        <v>448560</v>
      </c>
      <c r="E36" s="4">
        <v>177048.21</v>
      </c>
      <c r="F36" s="4">
        <f t="shared" si="2"/>
        <v>0</v>
      </c>
      <c r="G36" s="4">
        <f t="shared" si="3"/>
        <v>271511.79000000004</v>
      </c>
    </row>
    <row r="37" spans="1:7" x14ac:dyDescent="0.25">
      <c r="A37" t="s">
        <v>35</v>
      </c>
      <c r="B37" s="2">
        <v>50103020</v>
      </c>
      <c r="C37" s="4">
        <f>12000+2000</f>
        <v>14000</v>
      </c>
      <c r="D37" s="10">
        <f>12000+2000</f>
        <v>14000</v>
      </c>
      <c r="E37" s="4">
        <v>6000</v>
      </c>
      <c r="F37" s="4">
        <f t="shared" si="2"/>
        <v>0</v>
      </c>
      <c r="G37" s="4">
        <f t="shared" si="3"/>
        <v>8000</v>
      </c>
    </row>
    <row r="38" spans="1:7" x14ac:dyDescent="0.25">
      <c r="A38" t="s">
        <v>36</v>
      </c>
      <c r="B38" s="2">
        <v>50103030</v>
      </c>
      <c r="C38" s="4">
        <f>88386+5064</f>
        <v>93450</v>
      </c>
      <c r="D38" s="10">
        <f>88386+5064</f>
        <v>93450</v>
      </c>
      <c r="E38" s="4">
        <v>36885.129999999997</v>
      </c>
      <c r="F38" s="4">
        <f t="shared" si="2"/>
        <v>0</v>
      </c>
      <c r="G38" s="4">
        <f t="shared" si="3"/>
        <v>56564.87</v>
      </c>
    </row>
    <row r="39" spans="1:7" x14ac:dyDescent="0.25">
      <c r="A39" t="s">
        <v>37</v>
      </c>
      <c r="B39" s="2">
        <v>50103040</v>
      </c>
      <c r="C39" s="4">
        <f>6000+1000</f>
        <v>7000</v>
      </c>
      <c r="D39" s="10">
        <f>6000+1000</f>
        <v>7000</v>
      </c>
      <c r="E39" s="4">
        <v>3000</v>
      </c>
      <c r="F39" s="4">
        <f t="shared" si="2"/>
        <v>0</v>
      </c>
      <c r="G39" s="4">
        <f t="shared" si="3"/>
        <v>4000</v>
      </c>
    </row>
    <row r="40" spans="1:7" x14ac:dyDescent="0.25">
      <c r="A40" t="s">
        <v>38</v>
      </c>
      <c r="B40" s="2">
        <v>50104990</v>
      </c>
      <c r="C40" s="4">
        <v>25000</v>
      </c>
      <c r="D40" s="4">
        <v>25000</v>
      </c>
      <c r="E40" s="4">
        <v>0</v>
      </c>
      <c r="F40" s="4">
        <f t="shared" si="2"/>
        <v>0</v>
      </c>
      <c r="G40" s="4">
        <f t="shared" si="3"/>
        <v>25000</v>
      </c>
    </row>
    <row r="41" spans="1:7" x14ac:dyDescent="0.25">
      <c r="A41" t="s">
        <v>39</v>
      </c>
      <c r="B41" s="2">
        <v>50104990</v>
      </c>
      <c r="C41" s="4">
        <v>27996.97</v>
      </c>
      <c r="D41" s="4">
        <v>27996.97</v>
      </c>
      <c r="E41" s="4">
        <v>0</v>
      </c>
      <c r="F41" s="4">
        <f t="shared" si="2"/>
        <v>0</v>
      </c>
      <c r="G41" s="4">
        <f t="shared" si="3"/>
        <v>27996.97</v>
      </c>
    </row>
    <row r="42" spans="1:7" x14ac:dyDescent="0.25">
      <c r="A42" t="s">
        <v>40</v>
      </c>
      <c r="B42" s="2">
        <v>50104990</v>
      </c>
      <c r="C42" s="4">
        <v>10000</v>
      </c>
      <c r="D42" s="4">
        <v>10000</v>
      </c>
      <c r="E42" s="4">
        <v>0</v>
      </c>
      <c r="F42" s="4">
        <f t="shared" si="2"/>
        <v>0</v>
      </c>
      <c r="G42" s="4">
        <f t="shared" si="3"/>
        <v>10000</v>
      </c>
    </row>
    <row r="43" spans="1:7" x14ac:dyDescent="0.25">
      <c r="A43" t="s">
        <v>20</v>
      </c>
      <c r="B43" s="2">
        <v>50104990</v>
      </c>
      <c r="C43" s="4">
        <v>19323165</v>
      </c>
      <c r="D43" s="4">
        <v>7078652.7400000002</v>
      </c>
      <c r="E43" s="4">
        <v>2421109.39</v>
      </c>
      <c r="F43" s="4">
        <f t="shared" si="2"/>
        <v>12244512.26</v>
      </c>
      <c r="G43" s="4">
        <f t="shared" si="3"/>
        <v>4657543.3499999996</v>
      </c>
    </row>
    <row r="44" spans="1:7" x14ac:dyDescent="0.25">
      <c r="A44" s="7"/>
      <c r="B44" s="9"/>
      <c r="C44" s="11"/>
      <c r="D44" s="11"/>
      <c r="E44" s="11"/>
      <c r="F44" s="11"/>
      <c r="G44" s="11"/>
    </row>
    <row r="45" spans="1:7" s="7" customFormat="1" x14ac:dyDescent="0.25">
      <c r="A45" s="7" t="s">
        <v>41</v>
      </c>
      <c r="B45" s="9">
        <v>200</v>
      </c>
      <c r="C45" s="11">
        <v>8489459</v>
      </c>
      <c r="D45" s="11">
        <v>6311709</v>
      </c>
      <c r="E45" s="11">
        <v>2920608.11</v>
      </c>
      <c r="F45" s="11">
        <f t="shared" ref="F45:F65" si="4">C45-D45</f>
        <v>2177750</v>
      </c>
      <c r="G45" s="11">
        <f t="shared" ref="G45:G65" si="5">D45-E45</f>
        <v>3391100.89</v>
      </c>
    </row>
    <row r="46" spans="1:7" s="7" customFormat="1" x14ac:dyDescent="0.25">
      <c r="A46" s="6" t="s">
        <v>42</v>
      </c>
      <c r="B46" s="8">
        <v>50201010</v>
      </c>
      <c r="C46" s="10">
        <f>20000+164000+125459</f>
        <v>309459</v>
      </c>
      <c r="D46" s="10">
        <f>20000+164000+125459</f>
        <v>309459</v>
      </c>
      <c r="E46" s="10">
        <v>5890</v>
      </c>
      <c r="F46" s="10">
        <f t="shared" si="4"/>
        <v>0</v>
      </c>
      <c r="G46" s="10">
        <f t="shared" si="5"/>
        <v>303569</v>
      </c>
    </row>
    <row r="47" spans="1:7" x14ac:dyDescent="0.25">
      <c r="A47" t="s">
        <v>43</v>
      </c>
      <c r="B47" s="2">
        <v>50202010</v>
      </c>
      <c r="C47" s="4">
        <v>20000</v>
      </c>
      <c r="D47" s="4">
        <v>20000</v>
      </c>
      <c r="E47" s="4">
        <v>16400</v>
      </c>
      <c r="F47" s="4">
        <f t="shared" si="4"/>
        <v>0</v>
      </c>
      <c r="G47" s="4">
        <f t="shared" si="5"/>
        <v>3600</v>
      </c>
    </row>
    <row r="48" spans="1:7" x14ac:dyDescent="0.25">
      <c r="A48" t="s">
        <v>44</v>
      </c>
      <c r="B48" s="2">
        <v>50203010</v>
      </c>
      <c r="C48" s="4">
        <v>75000</v>
      </c>
      <c r="D48" s="4">
        <v>75000</v>
      </c>
      <c r="E48" s="4">
        <v>17732</v>
      </c>
      <c r="F48" s="4">
        <f t="shared" si="4"/>
        <v>0</v>
      </c>
      <c r="G48" s="4">
        <f t="shared" si="5"/>
        <v>57268</v>
      </c>
    </row>
    <row r="49" spans="1:7" x14ac:dyDescent="0.25">
      <c r="A49" t="s">
        <v>45</v>
      </c>
      <c r="B49" s="2">
        <v>50203070</v>
      </c>
      <c r="C49" s="4">
        <v>10000</v>
      </c>
      <c r="D49" s="4">
        <v>0</v>
      </c>
      <c r="E49" s="4">
        <v>0</v>
      </c>
      <c r="F49" s="4">
        <f t="shared" si="4"/>
        <v>10000</v>
      </c>
      <c r="G49" s="4">
        <f t="shared" si="5"/>
        <v>0</v>
      </c>
    </row>
    <row r="50" spans="1:7" x14ac:dyDescent="0.25">
      <c r="A50" t="s">
        <v>46</v>
      </c>
      <c r="B50" s="2">
        <v>50203080</v>
      </c>
      <c r="C50" s="4">
        <v>10000</v>
      </c>
      <c r="D50" s="4">
        <v>0</v>
      </c>
      <c r="E50" s="4">
        <v>0</v>
      </c>
      <c r="F50" s="4">
        <f t="shared" si="4"/>
        <v>10000</v>
      </c>
      <c r="G50" s="4">
        <f t="shared" si="5"/>
        <v>0</v>
      </c>
    </row>
    <row r="51" spans="1:7" x14ac:dyDescent="0.25">
      <c r="A51" t="s">
        <v>47</v>
      </c>
      <c r="B51" s="2">
        <v>50203090</v>
      </c>
      <c r="C51" s="4">
        <v>400000</v>
      </c>
      <c r="D51" s="4">
        <v>400000</v>
      </c>
      <c r="E51" s="4">
        <v>207503.35999999999</v>
      </c>
      <c r="F51" s="4">
        <f t="shared" si="4"/>
        <v>0</v>
      </c>
      <c r="G51" s="4">
        <f t="shared" si="5"/>
        <v>192496.64000000001</v>
      </c>
    </row>
    <row r="52" spans="1:7" x14ac:dyDescent="0.25">
      <c r="A52" t="s">
        <v>48</v>
      </c>
      <c r="B52" s="2">
        <v>50203210</v>
      </c>
      <c r="C52" s="4">
        <f>46000+180000</f>
        <v>226000</v>
      </c>
      <c r="D52" s="10">
        <f>46000+180000</f>
        <v>226000</v>
      </c>
      <c r="E52" s="4">
        <v>22998</v>
      </c>
      <c r="F52" s="4">
        <f t="shared" si="4"/>
        <v>0</v>
      </c>
      <c r="G52" s="4">
        <f t="shared" si="5"/>
        <v>203002</v>
      </c>
    </row>
    <row r="53" spans="1:7" x14ac:dyDescent="0.25">
      <c r="A53" t="s">
        <v>49</v>
      </c>
      <c r="B53" s="2">
        <v>50203220</v>
      </c>
      <c r="C53" s="4">
        <f>54000+90000+250000</f>
        <v>394000</v>
      </c>
      <c r="D53" s="10">
        <f>54000+90000+250000</f>
        <v>394000</v>
      </c>
      <c r="E53" s="4">
        <v>0</v>
      </c>
      <c r="F53" s="4">
        <f t="shared" si="4"/>
        <v>0</v>
      </c>
      <c r="G53" s="4">
        <f t="shared" si="5"/>
        <v>394000</v>
      </c>
    </row>
    <row r="54" spans="1:7" x14ac:dyDescent="0.25">
      <c r="A54" t="s">
        <v>50</v>
      </c>
      <c r="B54" s="2">
        <v>50203990</v>
      </c>
      <c r="C54" s="4">
        <v>75000</v>
      </c>
      <c r="D54" s="4">
        <v>75000</v>
      </c>
      <c r="E54" s="4">
        <v>17457.150000000001</v>
      </c>
      <c r="F54" s="4">
        <f t="shared" si="4"/>
        <v>0</v>
      </c>
      <c r="G54" s="4">
        <f t="shared" si="5"/>
        <v>57542.85</v>
      </c>
    </row>
    <row r="55" spans="1:7" x14ac:dyDescent="0.25">
      <c r="A55" t="s">
        <v>51</v>
      </c>
      <c r="B55" s="2">
        <v>50204010</v>
      </c>
      <c r="C55" s="4">
        <v>10000</v>
      </c>
      <c r="D55" s="4">
        <v>10000</v>
      </c>
      <c r="E55" s="4">
        <v>0</v>
      </c>
      <c r="F55" s="4">
        <f t="shared" si="4"/>
        <v>0</v>
      </c>
      <c r="G55" s="4">
        <f t="shared" si="5"/>
        <v>10000</v>
      </c>
    </row>
    <row r="56" spans="1:7" x14ac:dyDescent="0.25">
      <c r="A56" t="s">
        <v>52</v>
      </c>
      <c r="B56" s="2">
        <v>50205010</v>
      </c>
      <c r="C56" s="4">
        <v>5000</v>
      </c>
      <c r="D56" s="4">
        <v>2500</v>
      </c>
      <c r="E56" s="4">
        <v>0</v>
      </c>
      <c r="F56" s="4">
        <f t="shared" si="4"/>
        <v>2500</v>
      </c>
      <c r="G56" s="4">
        <f t="shared" si="5"/>
        <v>2500</v>
      </c>
    </row>
    <row r="57" spans="1:7" x14ac:dyDescent="0.25">
      <c r="A57" t="s">
        <v>53</v>
      </c>
      <c r="B57" s="2">
        <v>50205020</v>
      </c>
      <c r="C57" s="4">
        <v>42000</v>
      </c>
      <c r="D57" s="4">
        <v>42000</v>
      </c>
      <c r="E57" s="4">
        <v>28000</v>
      </c>
      <c r="F57" s="4">
        <f t="shared" si="4"/>
        <v>0</v>
      </c>
      <c r="G57" s="4">
        <f t="shared" si="5"/>
        <v>14000</v>
      </c>
    </row>
    <row r="58" spans="1:7" x14ac:dyDescent="0.25">
      <c r="A58" t="s">
        <v>54</v>
      </c>
      <c r="B58" s="2">
        <v>50212990</v>
      </c>
      <c r="C58" s="4">
        <f>5523000+680000</f>
        <v>6203000</v>
      </c>
      <c r="D58" s="4">
        <f>3452750+680000</f>
        <v>4132750</v>
      </c>
      <c r="E58" s="4">
        <f>1477777.6+680000</f>
        <v>2157777.6</v>
      </c>
      <c r="F58" s="4">
        <f t="shared" si="4"/>
        <v>2070250</v>
      </c>
      <c r="G58" s="4">
        <f t="shared" si="5"/>
        <v>1974972.4</v>
      </c>
    </row>
    <row r="59" spans="1:7" x14ac:dyDescent="0.25">
      <c r="A59" t="s">
        <v>55</v>
      </c>
      <c r="B59" s="2">
        <v>50213050</v>
      </c>
      <c r="C59" s="4">
        <v>20000</v>
      </c>
      <c r="D59" s="4">
        <v>10000</v>
      </c>
      <c r="E59" s="4">
        <v>0</v>
      </c>
      <c r="F59" s="4">
        <f t="shared" si="4"/>
        <v>10000</v>
      </c>
      <c r="G59" s="4">
        <f t="shared" si="5"/>
        <v>10000</v>
      </c>
    </row>
    <row r="60" spans="1:7" x14ac:dyDescent="0.25">
      <c r="A60" t="s">
        <v>56</v>
      </c>
      <c r="B60" s="2">
        <v>50213060</v>
      </c>
      <c r="C60" s="4">
        <v>150000</v>
      </c>
      <c r="D60" s="4">
        <v>150000</v>
      </c>
      <c r="E60" s="4">
        <v>48200</v>
      </c>
      <c r="F60" s="4">
        <f t="shared" si="4"/>
        <v>0</v>
      </c>
      <c r="G60" s="4">
        <f t="shared" si="5"/>
        <v>101800</v>
      </c>
    </row>
    <row r="61" spans="1:7" x14ac:dyDescent="0.25">
      <c r="A61" t="s">
        <v>57</v>
      </c>
      <c r="B61" s="2">
        <v>50216010</v>
      </c>
      <c r="C61" s="4">
        <v>120000</v>
      </c>
      <c r="D61" s="4">
        <v>50000</v>
      </c>
      <c r="E61" s="4">
        <v>0</v>
      </c>
      <c r="F61" s="4">
        <f t="shared" si="4"/>
        <v>70000</v>
      </c>
      <c r="G61" s="4">
        <f t="shared" si="5"/>
        <v>50000</v>
      </c>
    </row>
    <row r="62" spans="1:7" x14ac:dyDescent="0.25">
      <c r="A62" t="s">
        <v>58</v>
      </c>
      <c r="B62" s="2">
        <v>50216020</v>
      </c>
      <c r="C62" s="4">
        <v>5000</v>
      </c>
      <c r="D62" s="4">
        <v>5000</v>
      </c>
      <c r="E62" s="4">
        <v>2500</v>
      </c>
      <c r="F62" s="4">
        <f t="shared" si="4"/>
        <v>0</v>
      </c>
      <c r="G62" s="4">
        <f t="shared" si="5"/>
        <v>2500</v>
      </c>
    </row>
    <row r="63" spans="1:7" x14ac:dyDescent="0.25">
      <c r="A63" t="s">
        <v>59</v>
      </c>
      <c r="B63" s="2">
        <v>50299020</v>
      </c>
      <c r="C63" s="4">
        <v>10000</v>
      </c>
      <c r="D63" s="4">
        <v>10000</v>
      </c>
      <c r="E63" s="4">
        <v>0</v>
      </c>
      <c r="F63" s="4">
        <f t="shared" si="4"/>
        <v>0</v>
      </c>
      <c r="G63" s="4">
        <f t="shared" si="5"/>
        <v>10000</v>
      </c>
    </row>
    <row r="64" spans="1:7" x14ac:dyDescent="0.25">
      <c r="A64" t="s">
        <v>60</v>
      </c>
      <c r="B64" s="2">
        <v>50299030</v>
      </c>
      <c r="C64" s="4">
        <v>400000</v>
      </c>
      <c r="D64" s="4">
        <v>400000</v>
      </c>
      <c r="E64" s="4">
        <v>396150</v>
      </c>
      <c r="F64" s="4">
        <f t="shared" si="4"/>
        <v>0</v>
      </c>
      <c r="G64" s="4">
        <f t="shared" si="5"/>
        <v>3850</v>
      </c>
    </row>
    <row r="65" spans="1:7" x14ac:dyDescent="0.25">
      <c r="A65" t="s">
        <v>61</v>
      </c>
      <c r="B65" s="2">
        <v>50299990</v>
      </c>
      <c r="C65" s="4">
        <v>5000</v>
      </c>
      <c r="D65" s="4">
        <v>0</v>
      </c>
      <c r="E65" s="4">
        <v>0</v>
      </c>
      <c r="F65" s="4">
        <f t="shared" si="4"/>
        <v>5000</v>
      </c>
      <c r="G65" s="4">
        <f t="shared" si="5"/>
        <v>0</v>
      </c>
    </row>
    <row r="66" spans="1:7" x14ac:dyDescent="0.25">
      <c r="A66" s="7"/>
      <c r="B66" s="9"/>
      <c r="C66" s="11"/>
      <c r="D66" s="11"/>
      <c r="E66" s="11"/>
      <c r="F66" s="11"/>
      <c r="G66" s="11"/>
    </row>
    <row r="67" spans="1:7" s="7" customFormat="1" x14ac:dyDescent="0.25">
      <c r="A67" s="7" t="s">
        <v>62</v>
      </c>
      <c r="B67" s="9">
        <v>300</v>
      </c>
      <c r="C67" s="11">
        <v>416000</v>
      </c>
      <c r="D67" s="11">
        <v>216000</v>
      </c>
      <c r="E67" s="11">
        <v>0</v>
      </c>
      <c r="F67" s="11">
        <f t="shared" ref="F67:F102" si="6">C67-D67</f>
        <v>200000</v>
      </c>
      <c r="G67" s="11">
        <f t="shared" ref="G67:G102" si="7">D67-E67</f>
        <v>216000</v>
      </c>
    </row>
    <row r="68" spans="1:7" x14ac:dyDescent="0.25">
      <c r="A68" t="s">
        <v>63</v>
      </c>
      <c r="B68" s="2">
        <v>10705030</v>
      </c>
      <c r="C68" s="4">
        <v>200000</v>
      </c>
      <c r="D68" s="4">
        <v>0</v>
      </c>
      <c r="E68" s="4">
        <v>0</v>
      </c>
      <c r="F68" s="4">
        <f t="shared" si="6"/>
        <v>200000</v>
      </c>
      <c r="G68" s="4">
        <f t="shared" si="7"/>
        <v>0</v>
      </c>
    </row>
    <row r="69" spans="1:7" x14ac:dyDescent="0.25">
      <c r="A69" t="s">
        <v>63</v>
      </c>
      <c r="B69" s="2">
        <v>10705030</v>
      </c>
      <c r="C69" s="4">
        <v>216000</v>
      </c>
      <c r="D69" s="4">
        <v>216000</v>
      </c>
      <c r="E69" s="4">
        <v>0</v>
      </c>
      <c r="F69" s="4">
        <f t="shared" si="6"/>
        <v>0</v>
      </c>
      <c r="G69" s="4">
        <f t="shared" si="7"/>
        <v>216000</v>
      </c>
    </row>
    <row r="70" spans="1:7" x14ac:dyDescent="0.25">
      <c r="B70" s="2"/>
    </row>
    <row r="71" spans="1:7" x14ac:dyDescent="0.25">
      <c r="A71" s="1" t="s">
        <v>64</v>
      </c>
      <c r="B71" s="3" t="s">
        <v>65</v>
      </c>
      <c r="C71" s="5">
        <v>313775540</v>
      </c>
      <c r="D71" s="5">
        <v>273015284.13999999</v>
      </c>
      <c r="E71" s="5">
        <v>159683308.96000001</v>
      </c>
      <c r="F71" s="5">
        <f t="shared" si="6"/>
        <v>40760255.860000014</v>
      </c>
      <c r="G71" s="5">
        <f t="shared" si="7"/>
        <v>113331975.17999998</v>
      </c>
    </row>
    <row r="72" spans="1:7" s="7" customFormat="1" x14ac:dyDescent="0.25">
      <c r="A72" s="7" t="s">
        <v>19</v>
      </c>
      <c r="B72" s="9">
        <v>100</v>
      </c>
      <c r="C72" s="11">
        <v>139577030</v>
      </c>
      <c r="D72" s="11">
        <v>128273753.14</v>
      </c>
      <c r="E72" s="11">
        <v>89905058.439999998</v>
      </c>
      <c r="F72" s="11">
        <f t="shared" si="6"/>
        <v>11303276.859999999</v>
      </c>
      <c r="G72" s="11">
        <f t="shared" si="7"/>
        <v>38368694.700000003</v>
      </c>
    </row>
    <row r="73" spans="1:7" s="7" customFormat="1" x14ac:dyDescent="0.25">
      <c r="A73" s="6" t="s">
        <v>21</v>
      </c>
      <c r="B73" s="8">
        <v>50101010</v>
      </c>
      <c r="C73" s="10">
        <f>31078008+805195</f>
        <v>31883203</v>
      </c>
      <c r="D73" s="10">
        <f>31078008+805195</f>
        <v>31883203</v>
      </c>
      <c r="E73" s="10">
        <v>21621020.219999999</v>
      </c>
      <c r="F73" s="10">
        <f t="shared" ref="F73:F100" si="8">C73-D73</f>
        <v>0</v>
      </c>
      <c r="G73" s="10">
        <f t="shared" si="7"/>
        <v>10262182.780000001</v>
      </c>
    </row>
    <row r="74" spans="1:7" x14ac:dyDescent="0.25">
      <c r="A74" t="s">
        <v>70</v>
      </c>
      <c r="B74" s="2">
        <v>50101010</v>
      </c>
      <c r="C74" s="4">
        <v>2000</v>
      </c>
      <c r="D74" s="4">
        <v>2000</v>
      </c>
      <c r="E74" s="4">
        <v>1997.8</v>
      </c>
      <c r="F74" s="4">
        <f t="shared" si="8"/>
        <v>0</v>
      </c>
      <c r="G74" s="4">
        <f t="shared" si="7"/>
        <v>2.2000000000000455</v>
      </c>
    </row>
    <row r="75" spans="1:7" x14ac:dyDescent="0.25">
      <c r="A75" t="s">
        <v>66</v>
      </c>
      <c r="B75" s="2">
        <v>50101020</v>
      </c>
      <c r="C75" s="4">
        <f>51895534+18165000</f>
        <v>70060534</v>
      </c>
      <c r="D75" s="10">
        <f>51895534+18165000</f>
        <v>70060534</v>
      </c>
      <c r="E75" s="4">
        <f>51892880.09+148941.99</f>
        <v>52041822.080000006</v>
      </c>
      <c r="F75" s="4">
        <f t="shared" si="8"/>
        <v>0</v>
      </c>
      <c r="G75" s="4">
        <f t="shared" si="7"/>
        <v>18018711.919999994</v>
      </c>
    </row>
    <row r="76" spans="1:7" x14ac:dyDescent="0.25">
      <c r="A76" t="s">
        <v>23</v>
      </c>
      <c r="B76" s="2">
        <v>50102010</v>
      </c>
      <c r="C76" s="4">
        <f>1584000+40000</f>
        <v>1624000</v>
      </c>
      <c r="D76" s="10">
        <f>1584000+40000</f>
        <v>1624000</v>
      </c>
      <c r="E76" s="4">
        <v>1079500</v>
      </c>
      <c r="F76" s="4">
        <f t="shared" si="8"/>
        <v>0</v>
      </c>
      <c r="G76" s="4">
        <f t="shared" si="7"/>
        <v>544500</v>
      </c>
    </row>
    <row r="77" spans="1:7" x14ac:dyDescent="0.25">
      <c r="A77" t="s">
        <v>24</v>
      </c>
      <c r="B77" s="2">
        <v>50102020</v>
      </c>
      <c r="C77" s="4">
        <v>72000</v>
      </c>
      <c r="D77" s="4">
        <v>72000</v>
      </c>
      <c r="E77" s="4">
        <v>48000</v>
      </c>
      <c r="F77" s="4">
        <f t="shared" si="8"/>
        <v>0</v>
      </c>
      <c r="G77" s="4">
        <f t="shared" si="7"/>
        <v>24000</v>
      </c>
    </row>
    <row r="78" spans="1:7" x14ac:dyDescent="0.25">
      <c r="A78" t="s">
        <v>25</v>
      </c>
      <c r="B78" s="2">
        <v>50102030</v>
      </c>
      <c r="C78" s="4">
        <v>72000</v>
      </c>
      <c r="D78" s="4">
        <v>72000</v>
      </c>
      <c r="E78" s="4">
        <v>2375</v>
      </c>
      <c r="F78" s="4">
        <f t="shared" si="8"/>
        <v>0</v>
      </c>
      <c r="G78" s="4">
        <f t="shared" si="7"/>
        <v>69625</v>
      </c>
    </row>
    <row r="79" spans="1:7" x14ac:dyDescent="0.25">
      <c r="A79" t="s">
        <v>26</v>
      </c>
      <c r="B79" s="2">
        <v>50102040</v>
      </c>
      <c r="C79" s="4">
        <v>462000</v>
      </c>
      <c r="D79" s="4">
        <v>462000</v>
      </c>
      <c r="E79" s="4">
        <v>420000</v>
      </c>
      <c r="F79" s="4">
        <f t="shared" si="8"/>
        <v>0</v>
      </c>
      <c r="G79" s="4">
        <f t="shared" si="7"/>
        <v>42000</v>
      </c>
    </row>
    <row r="80" spans="1:7" x14ac:dyDescent="0.25">
      <c r="A80" t="s">
        <v>27</v>
      </c>
      <c r="B80" s="2">
        <v>50102050</v>
      </c>
      <c r="C80" s="4">
        <f>1188000+30000</f>
        <v>1218000</v>
      </c>
      <c r="D80" s="10">
        <f>1188000+30000</f>
        <v>1218000</v>
      </c>
      <c r="E80" s="4">
        <v>416750</v>
      </c>
      <c r="F80" s="4">
        <f t="shared" si="8"/>
        <v>0</v>
      </c>
      <c r="G80" s="4">
        <f t="shared" si="7"/>
        <v>801250</v>
      </c>
    </row>
    <row r="81" spans="1:7" x14ac:dyDescent="0.25">
      <c r="A81" t="s">
        <v>28</v>
      </c>
      <c r="B81" s="2">
        <v>50102060</v>
      </c>
      <c r="C81" s="4">
        <f>118800+3000</f>
        <v>121800</v>
      </c>
      <c r="D81" s="10">
        <f>118800+3000</f>
        <v>121800</v>
      </c>
      <c r="E81" s="4">
        <v>58363.87</v>
      </c>
      <c r="F81" s="4">
        <f t="shared" si="8"/>
        <v>0</v>
      </c>
      <c r="G81" s="4">
        <f t="shared" si="7"/>
        <v>63436.13</v>
      </c>
    </row>
    <row r="82" spans="1:7" x14ac:dyDescent="0.25">
      <c r="A82" t="s">
        <v>29</v>
      </c>
      <c r="B82" s="2">
        <v>50102110</v>
      </c>
      <c r="C82" s="4">
        <f>6958070+201299</f>
        <v>7159369</v>
      </c>
      <c r="D82" s="10">
        <f>6958070+201299</f>
        <v>7159369</v>
      </c>
      <c r="E82" s="4">
        <v>4185724</v>
      </c>
      <c r="F82" s="4">
        <f t="shared" si="8"/>
        <v>0</v>
      </c>
      <c r="G82" s="4">
        <f t="shared" si="7"/>
        <v>2973645</v>
      </c>
    </row>
    <row r="83" spans="1:7" x14ac:dyDescent="0.25">
      <c r="A83" t="s">
        <v>71</v>
      </c>
      <c r="B83" s="2">
        <v>50102110</v>
      </c>
      <c r="C83" s="4">
        <v>500</v>
      </c>
      <c r="D83" s="4">
        <v>500</v>
      </c>
      <c r="E83" s="4">
        <v>499.46</v>
      </c>
      <c r="F83" s="4">
        <f t="shared" si="8"/>
        <v>0</v>
      </c>
      <c r="G83" s="4">
        <f t="shared" si="7"/>
        <v>0.54000000000002046</v>
      </c>
    </row>
    <row r="84" spans="1:7" x14ac:dyDescent="0.25">
      <c r="A84" t="s">
        <v>67</v>
      </c>
      <c r="B84" s="2">
        <v>50102120</v>
      </c>
      <c r="C84" s="4">
        <v>110000</v>
      </c>
      <c r="D84" s="4">
        <v>110000</v>
      </c>
      <c r="E84" s="4">
        <v>90000</v>
      </c>
      <c r="F84" s="4">
        <f t="shared" si="8"/>
        <v>0</v>
      </c>
      <c r="G84" s="4">
        <f t="shared" si="7"/>
        <v>20000</v>
      </c>
    </row>
    <row r="85" spans="1:7" x14ac:dyDescent="0.25">
      <c r="A85" t="s">
        <v>68</v>
      </c>
      <c r="B85" s="2">
        <v>50102130</v>
      </c>
      <c r="C85" s="4">
        <f>1600000+450000</f>
        <v>2050000</v>
      </c>
      <c r="D85" s="10">
        <f>1600000+450000</f>
        <v>2050000</v>
      </c>
      <c r="E85" s="4">
        <f>1599792.28+437578</f>
        <v>2037370.28</v>
      </c>
      <c r="F85" s="4">
        <f t="shared" si="8"/>
        <v>0</v>
      </c>
      <c r="G85" s="4">
        <f t="shared" si="7"/>
        <v>12629.719999999972</v>
      </c>
    </row>
    <row r="86" spans="1:7" x14ac:dyDescent="0.25">
      <c r="A86" t="s">
        <v>69</v>
      </c>
      <c r="B86" s="2">
        <v>50102130</v>
      </c>
      <c r="C86" s="4">
        <f>1258000+250000</f>
        <v>1508000</v>
      </c>
      <c r="D86" s="10">
        <f>1258000+250000</f>
        <v>1508000</v>
      </c>
      <c r="E86" s="4">
        <f>1257641.15+249847.68</f>
        <v>1507488.8299999998</v>
      </c>
      <c r="F86" s="4">
        <f t="shared" si="8"/>
        <v>0</v>
      </c>
      <c r="G86" s="4">
        <f t="shared" si="7"/>
        <v>511.17000000015832</v>
      </c>
    </row>
    <row r="87" spans="1:7" x14ac:dyDescent="0.25">
      <c r="A87" t="s">
        <v>30</v>
      </c>
      <c r="B87" s="2">
        <v>50102140</v>
      </c>
      <c r="C87" s="4">
        <f>2589834+161039</f>
        <v>2750873</v>
      </c>
      <c r="D87" s="10">
        <f>2589834+161039</f>
        <v>2750873</v>
      </c>
      <c r="E87" s="4">
        <v>0</v>
      </c>
      <c r="F87" s="4">
        <f t="shared" si="8"/>
        <v>0</v>
      </c>
      <c r="G87" s="4">
        <f t="shared" si="7"/>
        <v>2750873</v>
      </c>
    </row>
    <row r="88" spans="1:7" x14ac:dyDescent="0.25">
      <c r="A88" t="s">
        <v>73</v>
      </c>
      <c r="B88" s="2">
        <v>50102140</v>
      </c>
      <c r="C88" s="4">
        <v>800</v>
      </c>
      <c r="D88" s="4">
        <v>800</v>
      </c>
      <c r="E88" s="4">
        <v>794</v>
      </c>
      <c r="F88" s="4">
        <f t="shared" si="8"/>
        <v>0</v>
      </c>
      <c r="G88" s="4">
        <f t="shared" si="7"/>
        <v>6</v>
      </c>
    </row>
    <row r="89" spans="1:7" x14ac:dyDescent="0.25">
      <c r="A89" t="s">
        <v>31</v>
      </c>
      <c r="B89" s="2">
        <v>50102150</v>
      </c>
      <c r="C89" s="4">
        <f>325000+20000</f>
        <v>345000</v>
      </c>
      <c r="D89" s="10">
        <f>325000+20000</f>
        <v>345000</v>
      </c>
      <c r="E89" s="4">
        <v>0</v>
      </c>
      <c r="F89" s="4">
        <f t="shared" si="8"/>
        <v>0</v>
      </c>
      <c r="G89" s="4">
        <f t="shared" si="7"/>
        <v>345000</v>
      </c>
    </row>
    <row r="90" spans="1:7" x14ac:dyDescent="0.25">
      <c r="A90" t="s">
        <v>32</v>
      </c>
      <c r="B90" s="2">
        <v>50102990</v>
      </c>
      <c r="C90" s="4">
        <v>462000</v>
      </c>
      <c r="D90" s="4">
        <v>462000</v>
      </c>
      <c r="E90" s="4">
        <v>420000</v>
      </c>
      <c r="F90" s="4">
        <f t="shared" si="8"/>
        <v>0</v>
      </c>
      <c r="G90" s="4">
        <f t="shared" si="7"/>
        <v>42000</v>
      </c>
    </row>
    <row r="91" spans="1:7" x14ac:dyDescent="0.25">
      <c r="A91" t="s">
        <v>33</v>
      </c>
      <c r="B91" s="2">
        <v>50102990</v>
      </c>
      <c r="C91" s="4">
        <v>2589834</v>
      </c>
      <c r="D91" s="4">
        <v>2589834</v>
      </c>
      <c r="E91" s="4">
        <v>2392839</v>
      </c>
      <c r="F91" s="4">
        <f t="shared" si="8"/>
        <v>0</v>
      </c>
      <c r="G91" s="4">
        <f t="shared" si="7"/>
        <v>196995</v>
      </c>
    </row>
    <row r="92" spans="1:7" x14ac:dyDescent="0.25">
      <c r="A92" t="s">
        <v>34</v>
      </c>
      <c r="B92" s="2">
        <v>50103010</v>
      </c>
      <c r="C92" s="4">
        <f>3729361+96624</f>
        <v>3825985</v>
      </c>
      <c r="D92" s="10">
        <f>3729361+96624</f>
        <v>3825985</v>
      </c>
      <c r="E92" s="4">
        <v>2607078.17</v>
      </c>
      <c r="F92" s="4">
        <f t="shared" si="8"/>
        <v>0</v>
      </c>
      <c r="G92" s="4">
        <f t="shared" si="7"/>
        <v>1218906.83</v>
      </c>
    </row>
    <row r="93" spans="1:7" x14ac:dyDescent="0.25">
      <c r="A93" t="s">
        <v>74</v>
      </c>
      <c r="B93" s="2">
        <v>50103010</v>
      </c>
      <c r="C93" s="4">
        <v>240</v>
      </c>
      <c r="D93" s="4">
        <v>240</v>
      </c>
      <c r="E93" s="4">
        <v>239.74</v>
      </c>
      <c r="F93" s="4">
        <f t="shared" si="8"/>
        <v>0</v>
      </c>
      <c r="G93" s="4">
        <f t="shared" si="7"/>
        <v>0.25999999999999091</v>
      </c>
    </row>
    <row r="94" spans="1:7" x14ac:dyDescent="0.25">
      <c r="A94" t="s">
        <v>35</v>
      </c>
      <c r="B94" s="2">
        <v>50103020</v>
      </c>
      <c r="C94" s="4">
        <f>158400+4000</f>
        <v>162400</v>
      </c>
      <c r="D94" s="10">
        <f>158400+4000</f>
        <v>162400</v>
      </c>
      <c r="E94" s="4">
        <v>108000</v>
      </c>
      <c r="F94" s="4">
        <f t="shared" si="8"/>
        <v>0</v>
      </c>
      <c r="G94" s="4">
        <f t="shared" si="7"/>
        <v>54400</v>
      </c>
    </row>
    <row r="95" spans="1:7" x14ac:dyDescent="0.25">
      <c r="A95" t="s">
        <v>36</v>
      </c>
      <c r="B95" s="2">
        <v>50103030</v>
      </c>
      <c r="C95" s="4">
        <f>776822+20130</f>
        <v>796952</v>
      </c>
      <c r="D95" s="10">
        <f>776822+20130</f>
        <v>796952</v>
      </c>
      <c r="E95" s="4">
        <v>542846.29</v>
      </c>
      <c r="F95" s="4">
        <f t="shared" si="8"/>
        <v>0</v>
      </c>
      <c r="G95" s="4">
        <f t="shared" si="7"/>
        <v>254105.70999999996</v>
      </c>
    </row>
    <row r="96" spans="1:7" x14ac:dyDescent="0.25">
      <c r="A96" t="s">
        <v>37</v>
      </c>
      <c r="B96" s="2">
        <v>50103040</v>
      </c>
      <c r="C96" s="4">
        <f>79200+2000</f>
        <v>81200</v>
      </c>
      <c r="D96" s="10">
        <f>79200+2000</f>
        <v>81200</v>
      </c>
      <c r="E96" s="4">
        <v>54000</v>
      </c>
      <c r="F96" s="4">
        <f t="shared" si="8"/>
        <v>0</v>
      </c>
      <c r="G96" s="4">
        <f t="shared" si="7"/>
        <v>27200</v>
      </c>
    </row>
    <row r="97" spans="1:7" x14ac:dyDescent="0.25">
      <c r="A97" t="s">
        <v>38</v>
      </c>
      <c r="B97" s="2">
        <v>50104990</v>
      </c>
      <c r="C97" s="4">
        <v>330000</v>
      </c>
      <c r="D97" s="4">
        <v>330000</v>
      </c>
      <c r="E97" s="4">
        <v>0</v>
      </c>
      <c r="F97" s="4">
        <f t="shared" si="8"/>
        <v>0</v>
      </c>
      <c r="G97" s="4">
        <f t="shared" si="7"/>
        <v>330000</v>
      </c>
    </row>
    <row r="98" spans="1:7" x14ac:dyDescent="0.25">
      <c r="A98" t="s">
        <v>39</v>
      </c>
      <c r="B98" s="2">
        <v>50104990</v>
      </c>
      <c r="C98" s="4">
        <v>296713</v>
      </c>
      <c r="D98" s="4">
        <v>296713</v>
      </c>
      <c r="E98" s="4">
        <v>0</v>
      </c>
      <c r="F98" s="4">
        <f t="shared" si="8"/>
        <v>0</v>
      </c>
      <c r="G98" s="4">
        <f t="shared" si="7"/>
        <v>296713</v>
      </c>
    </row>
    <row r="99" spans="1:7" x14ac:dyDescent="0.25">
      <c r="A99" t="s">
        <v>40</v>
      </c>
      <c r="B99" s="2">
        <v>50104990</v>
      </c>
      <c r="C99" s="4">
        <v>20000</v>
      </c>
      <c r="D99" s="4">
        <v>20000</v>
      </c>
      <c r="E99" s="4">
        <v>0</v>
      </c>
      <c r="F99" s="4">
        <f t="shared" si="8"/>
        <v>0</v>
      </c>
      <c r="G99" s="4">
        <f t="shared" si="7"/>
        <v>20000</v>
      </c>
    </row>
    <row r="100" spans="1:7" x14ac:dyDescent="0.25">
      <c r="A100" t="s">
        <v>20</v>
      </c>
      <c r="B100" s="2">
        <v>50104990</v>
      </c>
      <c r="C100" s="4">
        <v>11571627</v>
      </c>
      <c r="D100" s="4">
        <v>268350.14</v>
      </c>
      <c r="E100" s="4">
        <v>268349.7</v>
      </c>
      <c r="F100" s="4">
        <f t="shared" si="8"/>
        <v>11303276.859999999</v>
      </c>
      <c r="G100" s="4">
        <f t="shared" si="7"/>
        <v>0.44000000000232831</v>
      </c>
    </row>
    <row r="101" spans="1:7" x14ac:dyDescent="0.25">
      <c r="A101" s="7"/>
      <c r="B101" s="9"/>
      <c r="C101" s="11"/>
      <c r="D101" s="11"/>
      <c r="E101" s="11"/>
      <c r="F101" s="11"/>
      <c r="G101" s="11"/>
    </row>
    <row r="102" spans="1:7" s="7" customFormat="1" x14ac:dyDescent="0.25">
      <c r="A102" s="7" t="s">
        <v>41</v>
      </c>
      <c r="B102" s="9">
        <v>200</v>
      </c>
      <c r="C102" s="11">
        <v>158728510</v>
      </c>
      <c r="D102" s="11">
        <v>133641531</v>
      </c>
      <c r="E102" s="11">
        <v>69778250.519999996</v>
      </c>
      <c r="F102" s="11">
        <f t="shared" si="6"/>
        <v>25086979</v>
      </c>
      <c r="G102" s="11">
        <f t="shared" si="7"/>
        <v>63863280.480000004</v>
      </c>
    </row>
    <row r="103" spans="1:7" s="7" customFormat="1" x14ac:dyDescent="0.25">
      <c r="A103" s="7" t="s">
        <v>113</v>
      </c>
      <c r="B103" s="9"/>
      <c r="C103" s="11">
        <f>SUM(C104:C133)</f>
        <v>158458510</v>
      </c>
      <c r="D103" s="11">
        <f>SUM(D104:D133)</f>
        <v>133641531</v>
      </c>
      <c r="E103" s="11">
        <f>SUM(E104:E133)</f>
        <v>69778250.519999996</v>
      </c>
      <c r="F103" s="11">
        <f>SUM(F104:F133)</f>
        <v>24816979</v>
      </c>
      <c r="G103" s="11">
        <f>SUM(G104:G133)</f>
        <v>63863280.480000004</v>
      </c>
    </row>
    <row r="104" spans="1:7" s="7" customFormat="1" x14ac:dyDescent="0.25">
      <c r="A104" s="6" t="s">
        <v>42</v>
      </c>
      <c r="B104" s="8">
        <v>50201010</v>
      </c>
      <c r="C104" s="10">
        <v>250000</v>
      </c>
      <c r="D104" s="10">
        <v>200000</v>
      </c>
      <c r="E104" s="10">
        <v>79815</v>
      </c>
      <c r="F104" s="10">
        <f t="shared" ref="F104:F133" si="9">C104-D104</f>
        <v>50000</v>
      </c>
      <c r="G104" s="10">
        <f t="shared" ref="G104:G133" si="10">D104-E104</f>
        <v>120185</v>
      </c>
    </row>
    <row r="105" spans="1:7" x14ac:dyDescent="0.25">
      <c r="A105" t="s">
        <v>43</v>
      </c>
      <c r="B105" s="2">
        <v>50202010</v>
      </c>
      <c r="C105" s="4">
        <v>750000</v>
      </c>
      <c r="D105" s="4">
        <v>600000</v>
      </c>
      <c r="E105" s="4">
        <v>279785</v>
      </c>
      <c r="F105" s="4">
        <f t="shared" si="9"/>
        <v>150000</v>
      </c>
      <c r="G105" s="4">
        <f t="shared" si="10"/>
        <v>320215</v>
      </c>
    </row>
    <row r="106" spans="1:7" x14ac:dyDescent="0.25">
      <c r="A106" t="s">
        <v>44</v>
      </c>
      <c r="B106" s="2">
        <v>50203010</v>
      </c>
      <c r="C106" s="4">
        <v>1350000</v>
      </c>
      <c r="D106" s="4">
        <v>1350000</v>
      </c>
      <c r="E106" s="4">
        <v>274286</v>
      </c>
      <c r="F106" s="4">
        <f t="shared" si="9"/>
        <v>0</v>
      </c>
      <c r="G106" s="4">
        <f t="shared" si="10"/>
        <v>1075714</v>
      </c>
    </row>
    <row r="107" spans="1:7" x14ac:dyDescent="0.25">
      <c r="A107" t="s">
        <v>75</v>
      </c>
      <c r="B107" s="2">
        <v>50203020</v>
      </c>
      <c r="C107" s="4">
        <v>200000</v>
      </c>
      <c r="D107" s="4">
        <v>174600</v>
      </c>
      <c r="E107" s="4">
        <v>45912.5</v>
      </c>
      <c r="F107" s="4">
        <f t="shared" si="9"/>
        <v>25400</v>
      </c>
      <c r="G107" s="4">
        <f t="shared" si="10"/>
        <v>128687.5</v>
      </c>
    </row>
    <row r="108" spans="1:7" x14ac:dyDescent="0.25">
      <c r="A108" t="s">
        <v>76</v>
      </c>
      <c r="B108" s="2">
        <v>50203050</v>
      </c>
      <c r="C108" s="4">
        <v>9000000</v>
      </c>
      <c r="D108" s="4">
        <v>6916700</v>
      </c>
      <c r="E108" s="4">
        <v>4275796.1500000004</v>
      </c>
      <c r="F108" s="4">
        <f t="shared" si="9"/>
        <v>2083300</v>
      </c>
      <c r="G108" s="4">
        <f t="shared" si="10"/>
        <v>2640903.8499999996</v>
      </c>
    </row>
    <row r="109" spans="1:7" x14ac:dyDescent="0.25">
      <c r="A109" t="s">
        <v>45</v>
      </c>
      <c r="B109" s="2">
        <v>50203070</v>
      </c>
      <c r="C109" s="4">
        <v>5000000</v>
      </c>
      <c r="D109" s="4">
        <v>5000000</v>
      </c>
      <c r="E109" s="4">
        <v>3013903.55</v>
      </c>
      <c r="F109" s="4">
        <f t="shared" si="9"/>
        <v>0</v>
      </c>
      <c r="G109" s="4">
        <f t="shared" si="10"/>
        <v>1986096.4500000002</v>
      </c>
    </row>
    <row r="110" spans="1:7" x14ac:dyDescent="0.25">
      <c r="A110" t="s">
        <v>46</v>
      </c>
      <c r="B110" s="2">
        <v>50203080</v>
      </c>
      <c r="C110" s="4">
        <f>23000000+5600000</f>
        <v>28600000</v>
      </c>
      <c r="D110" s="4">
        <f>21775484+5600000</f>
        <v>27375484</v>
      </c>
      <c r="E110" s="4">
        <v>6463576.4500000002</v>
      </c>
      <c r="F110" s="4">
        <f t="shared" si="9"/>
        <v>1224516</v>
      </c>
      <c r="G110" s="4">
        <f t="shared" si="10"/>
        <v>20911907.550000001</v>
      </c>
    </row>
    <row r="111" spans="1:7" x14ac:dyDescent="0.25">
      <c r="A111" t="s">
        <v>47</v>
      </c>
      <c r="B111" s="2">
        <v>50203090</v>
      </c>
      <c r="C111" s="4">
        <f>3000000+350000</f>
        <v>3350000</v>
      </c>
      <c r="D111" s="4">
        <f>2410840+350000</f>
        <v>2760840</v>
      </c>
      <c r="E111" s="4">
        <v>2007625.54</v>
      </c>
      <c r="F111" s="4">
        <f t="shared" si="9"/>
        <v>589160</v>
      </c>
      <c r="G111" s="4">
        <f t="shared" si="10"/>
        <v>753214.46</v>
      </c>
    </row>
    <row r="112" spans="1:7" x14ac:dyDescent="0.25">
      <c r="A112" t="s">
        <v>48</v>
      </c>
      <c r="B112" s="2">
        <v>50203210</v>
      </c>
      <c r="C112" s="4">
        <f>2200000+6150000</f>
        <v>8350000</v>
      </c>
      <c r="D112" s="10">
        <f>2200000+6150000</f>
        <v>8350000</v>
      </c>
      <c r="E112" s="4">
        <v>0</v>
      </c>
      <c r="F112" s="4">
        <f t="shared" si="9"/>
        <v>0</v>
      </c>
      <c r="G112" s="4">
        <f t="shared" si="10"/>
        <v>8350000</v>
      </c>
    </row>
    <row r="113" spans="1:7" x14ac:dyDescent="0.25">
      <c r="A113" t="s">
        <v>49</v>
      </c>
      <c r="B113" s="2">
        <v>50203220</v>
      </c>
      <c r="C113" s="4">
        <v>800000</v>
      </c>
      <c r="D113" s="4">
        <v>800000</v>
      </c>
      <c r="E113" s="4">
        <v>0</v>
      </c>
      <c r="F113" s="4">
        <f t="shared" si="9"/>
        <v>0</v>
      </c>
      <c r="G113" s="4">
        <f t="shared" si="10"/>
        <v>800000</v>
      </c>
    </row>
    <row r="114" spans="1:7" x14ac:dyDescent="0.25">
      <c r="A114" t="s">
        <v>50</v>
      </c>
      <c r="B114" s="2">
        <v>50203990</v>
      </c>
      <c r="C114" s="4">
        <v>1000000</v>
      </c>
      <c r="D114" s="4">
        <v>1000000</v>
      </c>
      <c r="E114" s="4">
        <v>434535</v>
      </c>
      <c r="F114" s="4">
        <f t="shared" si="9"/>
        <v>0</v>
      </c>
      <c r="G114" s="4">
        <f t="shared" si="10"/>
        <v>565465</v>
      </c>
    </row>
    <row r="115" spans="1:7" x14ac:dyDescent="0.25">
      <c r="A115" t="s">
        <v>77</v>
      </c>
      <c r="B115" s="2">
        <v>50203990</v>
      </c>
      <c r="C115" s="4">
        <v>270000</v>
      </c>
      <c r="D115" s="4">
        <v>204055</v>
      </c>
      <c r="E115" s="4">
        <v>162676</v>
      </c>
      <c r="F115" s="4">
        <f t="shared" si="9"/>
        <v>65945</v>
      </c>
      <c r="G115" s="4">
        <f t="shared" si="10"/>
        <v>41379</v>
      </c>
    </row>
    <row r="116" spans="1:7" x14ac:dyDescent="0.25">
      <c r="A116" t="s">
        <v>78</v>
      </c>
      <c r="B116" s="2">
        <v>50204020</v>
      </c>
      <c r="C116" s="4">
        <f>6900000+1020000</f>
        <v>7920000</v>
      </c>
      <c r="D116" s="4">
        <f>5400000+1020000</f>
        <v>6420000</v>
      </c>
      <c r="E116" s="4">
        <v>5227017.3899999997</v>
      </c>
      <c r="F116" s="4">
        <f t="shared" si="9"/>
        <v>1500000</v>
      </c>
      <c r="G116" s="4">
        <f t="shared" si="10"/>
        <v>1192982.6100000003</v>
      </c>
    </row>
    <row r="117" spans="1:7" x14ac:dyDescent="0.25">
      <c r="A117" t="s">
        <v>53</v>
      </c>
      <c r="B117" s="2">
        <v>50205020</v>
      </c>
      <c r="C117" s="4">
        <v>30000</v>
      </c>
      <c r="D117" s="4">
        <v>30000</v>
      </c>
      <c r="E117" s="4">
        <v>28000</v>
      </c>
      <c r="F117" s="4">
        <f t="shared" si="9"/>
        <v>0</v>
      </c>
      <c r="G117" s="4">
        <f t="shared" si="10"/>
        <v>2000</v>
      </c>
    </row>
    <row r="118" spans="1:7" x14ac:dyDescent="0.25">
      <c r="A118" t="s">
        <v>79</v>
      </c>
      <c r="B118" s="2">
        <v>50205030</v>
      </c>
      <c r="C118" s="4">
        <v>150000</v>
      </c>
      <c r="D118" s="4">
        <v>100000</v>
      </c>
      <c r="E118" s="4">
        <v>17997</v>
      </c>
      <c r="F118" s="4">
        <f t="shared" si="9"/>
        <v>50000</v>
      </c>
      <c r="G118" s="4">
        <f t="shared" si="10"/>
        <v>82003</v>
      </c>
    </row>
    <row r="119" spans="1:7" x14ac:dyDescent="0.25">
      <c r="A119" t="s">
        <v>80</v>
      </c>
      <c r="B119" s="2">
        <v>50205040</v>
      </c>
      <c r="C119" s="4">
        <v>10000</v>
      </c>
      <c r="D119" s="4">
        <v>10000</v>
      </c>
      <c r="E119" s="4">
        <v>0</v>
      </c>
      <c r="F119" s="4">
        <f t="shared" si="9"/>
        <v>0</v>
      </c>
      <c r="G119" s="4">
        <f t="shared" si="10"/>
        <v>10000</v>
      </c>
    </row>
    <row r="120" spans="1:7" x14ac:dyDescent="0.25">
      <c r="A120" t="s">
        <v>88</v>
      </c>
      <c r="B120" s="2">
        <v>50212010</v>
      </c>
      <c r="C120" s="4">
        <v>7500000</v>
      </c>
      <c r="D120" s="4">
        <v>7500000</v>
      </c>
      <c r="E120" s="4">
        <v>1000000</v>
      </c>
      <c r="F120" s="4">
        <f t="shared" si="9"/>
        <v>0</v>
      </c>
      <c r="G120" s="4">
        <f t="shared" si="10"/>
        <v>6500000</v>
      </c>
    </row>
    <row r="121" spans="1:7" x14ac:dyDescent="0.25">
      <c r="A121" t="s">
        <v>54</v>
      </c>
      <c r="B121" s="2">
        <v>50212990</v>
      </c>
      <c r="C121" s="4">
        <v>77572408</v>
      </c>
      <c r="D121" s="4">
        <v>58800000</v>
      </c>
      <c r="E121" s="4">
        <v>45709733.469999999</v>
      </c>
      <c r="F121" s="4">
        <f t="shared" si="9"/>
        <v>18772408</v>
      </c>
      <c r="G121" s="4">
        <f t="shared" si="10"/>
        <v>13090266.530000001</v>
      </c>
    </row>
    <row r="122" spans="1:7" x14ac:dyDescent="0.25">
      <c r="A122" t="s">
        <v>81</v>
      </c>
      <c r="B122" s="2">
        <v>50213040</v>
      </c>
      <c r="C122" s="4">
        <f>1500000+500000+295000</f>
        <v>2295000</v>
      </c>
      <c r="D122" s="10">
        <f>1500000+500000+295000</f>
        <v>2295000</v>
      </c>
      <c r="E122" s="4">
        <v>164709</v>
      </c>
      <c r="F122" s="4">
        <f t="shared" si="9"/>
        <v>0</v>
      </c>
      <c r="G122" s="4">
        <f t="shared" si="10"/>
        <v>2130291</v>
      </c>
    </row>
    <row r="123" spans="1:7" x14ac:dyDescent="0.25">
      <c r="A123" t="s">
        <v>82</v>
      </c>
      <c r="B123" s="2">
        <v>50213050</v>
      </c>
      <c r="C123" s="4">
        <v>100000</v>
      </c>
      <c r="D123" s="4">
        <v>100000</v>
      </c>
      <c r="E123" s="4">
        <v>0</v>
      </c>
      <c r="F123" s="4">
        <f t="shared" si="9"/>
        <v>0</v>
      </c>
      <c r="G123" s="4">
        <f t="shared" si="10"/>
        <v>100000</v>
      </c>
    </row>
    <row r="124" spans="1:7" x14ac:dyDescent="0.25">
      <c r="A124" t="s">
        <v>83</v>
      </c>
      <c r="B124" s="2">
        <v>50213050</v>
      </c>
      <c r="C124" s="4">
        <v>1500000</v>
      </c>
      <c r="D124" s="4">
        <v>1400000</v>
      </c>
      <c r="E124" s="4">
        <v>0</v>
      </c>
      <c r="F124" s="4">
        <f t="shared" si="9"/>
        <v>100000</v>
      </c>
      <c r="G124" s="4">
        <f t="shared" si="10"/>
        <v>1400000</v>
      </c>
    </row>
    <row r="125" spans="1:7" x14ac:dyDescent="0.25">
      <c r="A125" t="s">
        <v>84</v>
      </c>
      <c r="B125" s="2">
        <v>50213050</v>
      </c>
      <c r="C125" s="4">
        <v>50000</v>
      </c>
      <c r="D125" s="4">
        <v>50000</v>
      </c>
      <c r="E125" s="4">
        <v>0</v>
      </c>
      <c r="F125" s="4">
        <f t="shared" si="9"/>
        <v>0</v>
      </c>
      <c r="G125" s="4">
        <f t="shared" si="10"/>
        <v>50000</v>
      </c>
    </row>
    <row r="126" spans="1:7" x14ac:dyDescent="0.25">
      <c r="A126" t="s">
        <v>85</v>
      </c>
      <c r="B126" s="2">
        <v>50213050</v>
      </c>
      <c r="C126" s="4">
        <v>50000</v>
      </c>
      <c r="D126" s="4">
        <v>50000</v>
      </c>
      <c r="E126" s="4">
        <v>0</v>
      </c>
      <c r="F126" s="4">
        <f t="shared" si="9"/>
        <v>0</v>
      </c>
      <c r="G126" s="4">
        <f t="shared" si="10"/>
        <v>50000</v>
      </c>
    </row>
    <row r="127" spans="1:7" x14ac:dyDescent="0.25">
      <c r="A127" t="s">
        <v>56</v>
      </c>
      <c r="B127" s="2">
        <v>50213060</v>
      </c>
      <c r="C127" s="4">
        <v>1500000</v>
      </c>
      <c r="D127" s="4">
        <v>1343750</v>
      </c>
      <c r="E127" s="4">
        <v>505940</v>
      </c>
      <c r="F127" s="4">
        <f t="shared" si="9"/>
        <v>156250</v>
      </c>
      <c r="G127" s="4">
        <f t="shared" si="10"/>
        <v>837810</v>
      </c>
    </row>
    <row r="128" spans="1:7" x14ac:dyDescent="0.25">
      <c r="A128" t="s">
        <v>57</v>
      </c>
      <c r="B128" s="2">
        <v>50216010</v>
      </c>
      <c r="C128" s="4">
        <v>350000</v>
      </c>
      <c r="D128" s="4">
        <v>300000</v>
      </c>
      <c r="E128" s="4">
        <v>0</v>
      </c>
      <c r="F128" s="4">
        <f t="shared" si="9"/>
        <v>50000</v>
      </c>
      <c r="G128" s="4">
        <f t="shared" si="10"/>
        <v>300000</v>
      </c>
    </row>
    <row r="129" spans="1:7" x14ac:dyDescent="0.25">
      <c r="A129" t="s">
        <v>58</v>
      </c>
      <c r="B129" s="2">
        <v>50216020</v>
      </c>
      <c r="C129" s="4">
        <v>100000</v>
      </c>
      <c r="D129" s="4">
        <v>100000</v>
      </c>
      <c r="E129" s="4">
        <v>86942.47</v>
      </c>
      <c r="F129" s="4">
        <f t="shared" si="9"/>
        <v>0</v>
      </c>
      <c r="G129" s="4">
        <f t="shared" si="10"/>
        <v>13057.529999999999</v>
      </c>
    </row>
    <row r="130" spans="1:7" x14ac:dyDescent="0.25">
      <c r="A130" t="s">
        <v>59</v>
      </c>
      <c r="B130" s="2">
        <v>50299020</v>
      </c>
      <c r="C130" s="4">
        <v>5000</v>
      </c>
      <c r="D130" s="4">
        <v>5000</v>
      </c>
      <c r="E130" s="4">
        <v>0</v>
      </c>
      <c r="F130" s="4">
        <f t="shared" si="9"/>
        <v>0</v>
      </c>
      <c r="G130" s="4">
        <f t="shared" si="10"/>
        <v>5000</v>
      </c>
    </row>
    <row r="131" spans="1:7" x14ac:dyDescent="0.25">
      <c r="A131" t="s">
        <v>86</v>
      </c>
      <c r="B131" s="2">
        <v>50299050</v>
      </c>
      <c r="C131" s="4">
        <v>31102</v>
      </c>
      <c r="D131" s="4">
        <v>31102</v>
      </c>
      <c r="E131" s="4">
        <v>0</v>
      </c>
      <c r="F131" s="4">
        <f t="shared" si="9"/>
        <v>0</v>
      </c>
      <c r="G131" s="4">
        <f t="shared" si="10"/>
        <v>31102</v>
      </c>
    </row>
    <row r="132" spans="1:7" x14ac:dyDescent="0.25">
      <c r="A132" t="s">
        <v>87</v>
      </c>
      <c r="B132" s="2">
        <v>50299060</v>
      </c>
      <c r="C132" s="4">
        <v>15000</v>
      </c>
      <c r="D132" s="4">
        <v>15000</v>
      </c>
      <c r="E132" s="4">
        <v>0</v>
      </c>
      <c r="F132" s="4">
        <f t="shared" si="9"/>
        <v>0</v>
      </c>
      <c r="G132" s="4">
        <f t="shared" si="10"/>
        <v>15000</v>
      </c>
    </row>
    <row r="133" spans="1:7" x14ac:dyDescent="0.25">
      <c r="A133" t="s">
        <v>61</v>
      </c>
      <c r="B133" s="2">
        <v>50299990</v>
      </c>
      <c r="C133" s="4">
        <v>360000</v>
      </c>
      <c r="D133" s="4">
        <v>360000</v>
      </c>
      <c r="E133" s="4">
        <v>0</v>
      </c>
      <c r="F133" s="4">
        <f t="shared" si="9"/>
        <v>0</v>
      </c>
      <c r="G133" s="4">
        <f t="shared" si="10"/>
        <v>360000</v>
      </c>
    </row>
    <row r="134" spans="1:7" x14ac:dyDescent="0.25">
      <c r="A134" s="7"/>
      <c r="B134" s="9"/>
      <c r="C134" s="11"/>
      <c r="D134" s="11"/>
      <c r="E134" s="11"/>
      <c r="F134" s="11"/>
      <c r="G134" s="11"/>
    </row>
    <row r="135" spans="1:7" s="7" customFormat="1" x14ac:dyDescent="0.25">
      <c r="A135" s="7" t="s">
        <v>89</v>
      </c>
      <c r="B135" s="9" t="s">
        <v>10</v>
      </c>
      <c r="C135" s="11">
        <v>270000</v>
      </c>
      <c r="D135" s="11">
        <v>0</v>
      </c>
      <c r="E135" s="11">
        <v>0</v>
      </c>
      <c r="F135" s="11">
        <f t="shared" ref="F135:F149" si="11">C135-D135</f>
        <v>270000</v>
      </c>
      <c r="G135" s="11">
        <f t="shared" ref="G135:G149" si="12">D135-E135</f>
        <v>0</v>
      </c>
    </row>
    <row r="136" spans="1:7" x14ac:dyDescent="0.25">
      <c r="A136" t="s">
        <v>44</v>
      </c>
      <c r="B136" s="2">
        <v>50203010</v>
      </c>
      <c r="C136" s="4">
        <v>20000</v>
      </c>
      <c r="D136" s="4">
        <v>0</v>
      </c>
      <c r="E136" s="4">
        <v>0</v>
      </c>
      <c r="F136" s="4">
        <f t="shared" si="11"/>
        <v>20000</v>
      </c>
      <c r="G136" s="4">
        <f t="shared" si="12"/>
        <v>0</v>
      </c>
    </row>
    <row r="137" spans="1:7" x14ac:dyDescent="0.25">
      <c r="A137" t="s">
        <v>46</v>
      </c>
      <c r="B137" s="2">
        <v>50203080</v>
      </c>
      <c r="C137" s="4">
        <v>50000</v>
      </c>
      <c r="D137" s="4">
        <v>0</v>
      </c>
      <c r="E137" s="4">
        <v>0</v>
      </c>
      <c r="F137" s="4">
        <f t="shared" si="11"/>
        <v>50000</v>
      </c>
      <c r="G137" s="4">
        <f t="shared" si="12"/>
        <v>0</v>
      </c>
    </row>
    <row r="138" spans="1:7" x14ac:dyDescent="0.25">
      <c r="A138" t="s">
        <v>81</v>
      </c>
      <c r="B138" s="2">
        <v>50213040</v>
      </c>
      <c r="C138" s="4">
        <v>100000</v>
      </c>
      <c r="D138" s="4">
        <v>0</v>
      </c>
      <c r="E138" s="4">
        <v>0</v>
      </c>
      <c r="F138" s="4">
        <f t="shared" si="11"/>
        <v>100000</v>
      </c>
      <c r="G138" s="4">
        <f t="shared" si="12"/>
        <v>0</v>
      </c>
    </row>
    <row r="139" spans="1:7" x14ac:dyDescent="0.25">
      <c r="A139" t="s">
        <v>55</v>
      </c>
      <c r="B139" s="2">
        <v>50213050</v>
      </c>
      <c r="C139" s="4">
        <v>100000</v>
      </c>
      <c r="D139" s="4">
        <v>0</v>
      </c>
      <c r="E139" s="4">
        <v>0</v>
      </c>
      <c r="F139" s="4">
        <f t="shared" si="11"/>
        <v>100000</v>
      </c>
      <c r="G139" s="4">
        <f t="shared" si="12"/>
        <v>0</v>
      </c>
    </row>
    <row r="140" spans="1:7" s="6" customFormat="1" x14ac:dyDescent="0.25">
      <c r="B140" s="8"/>
      <c r="C140" s="10"/>
      <c r="D140" s="10"/>
      <c r="E140" s="10"/>
      <c r="F140" s="10"/>
      <c r="G140" s="10"/>
    </row>
    <row r="141" spans="1:7" s="7" customFormat="1" x14ac:dyDescent="0.25">
      <c r="A141" s="7" t="s">
        <v>62</v>
      </c>
      <c r="B141" s="9">
        <v>300</v>
      </c>
      <c r="C141" s="11">
        <v>15470000</v>
      </c>
      <c r="D141" s="11">
        <v>11100000</v>
      </c>
      <c r="E141" s="11">
        <v>0</v>
      </c>
      <c r="F141" s="11">
        <f t="shared" si="11"/>
        <v>4370000</v>
      </c>
      <c r="G141" s="11">
        <f t="shared" si="12"/>
        <v>11100000</v>
      </c>
    </row>
    <row r="142" spans="1:7" x14ac:dyDescent="0.25">
      <c r="A142" t="s">
        <v>90</v>
      </c>
      <c r="B142" s="2">
        <v>10705030</v>
      </c>
      <c r="C142" s="4">
        <v>2000000</v>
      </c>
      <c r="D142" s="4">
        <v>2000000</v>
      </c>
      <c r="E142" s="4">
        <v>0</v>
      </c>
      <c r="F142" s="4">
        <f t="shared" si="11"/>
        <v>0</v>
      </c>
      <c r="G142" s="4">
        <f t="shared" si="12"/>
        <v>2000000</v>
      </c>
    </row>
    <row r="143" spans="1:7" x14ac:dyDescent="0.25">
      <c r="A143" t="s">
        <v>91</v>
      </c>
      <c r="B143" s="2">
        <v>10705110</v>
      </c>
      <c r="C143" s="4">
        <v>4800000</v>
      </c>
      <c r="D143" s="4">
        <v>4800000</v>
      </c>
      <c r="E143" s="4">
        <v>0</v>
      </c>
      <c r="F143" s="4">
        <f t="shared" si="11"/>
        <v>0</v>
      </c>
      <c r="G143" s="4">
        <f t="shared" si="12"/>
        <v>4800000</v>
      </c>
    </row>
    <row r="144" spans="1:7" x14ac:dyDescent="0.25">
      <c r="A144" t="s">
        <v>92</v>
      </c>
      <c r="B144" s="2">
        <v>10704030</v>
      </c>
      <c r="C144" s="4">
        <v>4370000</v>
      </c>
      <c r="D144" s="4">
        <v>0</v>
      </c>
      <c r="E144" s="4">
        <v>0</v>
      </c>
      <c r="F144" s="4">
        <f t="shared" si="11"/>
        <v>4370000</v>
      </c>
      <c r="G144" s="4">
        <f t="shared" si="12"/>
        <v>0</v>
      </c>
    </row>
    <row r="145" spans="1:7" x14ac:dyDescent="0.25">
      <c r="A145" t="s">
        <v>93</v>
      </c>
      <c r="B145" s="2">
        <v>10704030</v>
      </c>
      <c r="C145" s="4">
        <v>1000000</v>
      </c>
      <c r="D145" s="4">
        <v>1000000</v>
      </c>
      <c r="E145" s="4">
        <v>0</v>
      </c>
      <c r="F145" s="4">
        <f t="shared" si="11"/>
        <v>0</v>
      </c>
      <c r="G145" s="4">
        <f t="shared" si="12"/>
        <v>1000000</v>
      </c>
    </row>
    <row r="146" spans="1:7" x14ac:dyDescent="0.25">
      <c r="A146" t="s">
        <v>94</v>
      </c>
      <c r="B146" s="2">
        <v>10704030</v>
      </c>
      <c r="C146" s="4">
        <v>3300000</v>
      </c>
      <c r="D146" s="4">
        <v>3300000</v>
      </c>
      <c r="E146" s="4">
        <v>0</v>
      </c>
      <c r="F146" s="4">
        <f t="shared" si="11"/>
        <v>0</v>
      </c>
      <c r="G146" s="4">
        <f t="shared" si="12"/>
        <v>3300000</v>
      </c>
    </row>
    <row r="147" spans="1:7" x14ac:dyDescent="0.25">
      <c r="B147" s="2"/>
    </row>
    <row r="148" spans="1:7" x14ac:dyDescent="0.25">
      <c r="A148" s="1" t="s">
        <v>95</v>
      </c>
      <c r="B148" s="3" t="s">
        <v>96</v>
      </c>
      <c r="C148" s="5">
        <v>223118513</v>
      </c>
      <c r="D148" s="5">
        <v>199264256.88</v>
      </c>
      <c r="E148" s="5">
        <v>107345719.17</v>
      </c>
      <c r="F148" s="5">
        <f t="shared" si="11"/>
        <v>23854256.120000005</v>
      </c>
      <c r="G148" s="5">
        <f t="shared" si="12"/>
        <v>91918537.709999993</v>
      </c>
    </row>
    <row r="149" spans="1:7" s="7" customFormat="1" x14ac:dyDescent="0.25">
      <c r="A149" s="7" t="s">
        <v>19</v>
      </c>
      <c r="B149" s="9">
        <v>100</v>
      </c>
      <c r="C149" s="11">
        <v>107757213</v>
      </c>
      <c r="D149" s="11">
        <v>91630816.879999995</v>
      </c>
      <c r="E149" s="11">
        <v>55788988.299999997</v>
      </c>
      <c r="F149" s="11">
        <f t="shared" si="11"/>
        <v>16126396.120000005</v>
      </c>
      <c r="G149" s="11">
        <f t="shared" si="12"/>
        <v>35841828.579999998</v>
      </c>
    </row>
    <row r="150" spans="1:7" s="7" customFormat="1" x14ac:dyDescent="0.25">
      <c r="A150" s="6" t="s">
        <v>21</v>
      </c>
      <c r="B150" s="8">
        <v>50101010</v>
      </c>
      <c r="C150" s="10">
        <f>23233032+856115</f>
        <v>24089147</v>
      </c>
      <c r="D150" s="10">
        <f>23233032+856115</f>
        <v>24089147</v>
      </c>
      <c r="E150" s="10">
        <v>14810900.98</v>
      </c>
      <c r="F150" s="10">
        <f t="shared" ref="F150:F175" si="13">C150-D150</f>
        <v>0</v>
      </c>
      <c r="G150" s="10">
        <f t="shared" ref="G150:G175" si="14">D150-E150</f>
        <v>9278246.0199999996</v>
      </c>
    </row>
    <row r="151" spans="1:7" x14ac:dyDescent="0.25">
      <c r="A151" t="s">
        <v>66</v>
      </c>
      <c r="B151" s="2">
        <v>50101020</v>
      </c>
      <c r="C151" s="4">
        <f>49492039+6944009</f>
        <v>56436048</v>
      </c>
      <c r="D151" s="4">
        <f>37119019.5+6944009</f>
        <v>44063028.5</v>
      </c>
      <c r="E151" s="4">
        <v>30216683.27</v>
      </c>
      <c r="F151" s="4">
        <f t="shared" si="13"/>
        <v>12373019.5</v>
      </c>
      <c r="G151" s="4">
        <f t="shared" si="14"/>
        <v>13846345.23</v>
      </c>
    </row>
    <row r="152" spans="1:7" x14ac:dyDescent="0.25">
      <c r="A152" t="s">
        <v>23</v>
      </c>
      <c r="B152" s="2">
        <v>50102010</v>
      </c>
      <c r="C152" s="4">
        <f>1248000+40000</f>
        <v>1288000</v>
      </c>
      <c r="D152" s="10">
        <f>1248000+40000</f>
        <v>1288000</v>
      </c>
      <c r="E152" s="4">
        <v>771555.83999999997</v>
      </c>
      <c r="F152" s="4">
        <f t="shared" si="13"/>
        <v>0</v>
      </c>
      <c r="G152" s="4">
        <f t="shared" si="14"/>
        <v>516444.16000000003</v>
      </c>
    </row>
    <row r="153" spans="1:7" x14ac:dyDescent="0.25">
      <c r="A153" t="s">
        <v>24</v>
      </c>
      <c r="B153" s="2">
        <v>50102020</v>
      </c>
      <c r="C153" s="4">
        <v>72000</v>
      </c>
      <c r="D153" s="4">
        <v>72000</v>
      </c>
      <c r="E153" s="4">
        <v>48000</v>
      </c>
      <c r="F153" s="4">
        <f t="shared" si="13"/>
        <v>0</v>
      </c>
      <c r="G153" s="4">
        <f t="shared" si="14"/>
        <v>24000</v>
      </c>
    </row>
    <row r="154" spans="1:7" x14ac:dyDescent="0.25">
      <c r="A154" t="s">
        <v>25</v>
      </c>
      <c r="B154" s="2">
        <v>50102030</v>
      </c>
      <c r="C154" s="4">
        <v>72000</v>
      </c>
      <c r="D154" s="4">
        <v>72000</v>
      </c>
      <c r="E154" s="4">
        <v>0</v>
      </c>
      <c r="F154" s="4">
        <f t="shared" si="13"/>
        <v>0</v>
      </c>
      <c r="G154" s="4">
        <f t="shared" si="14"/>
        <v>72000</v>
      </c>
    </row>
    <row r="155" spans="1:7" x14ac:dyDescent="0.25">
      <c r="A155" t="s">
        <v>26</v>
      </c>
      <c r="B155" s="2">
        <v>50102040</v>
      </c>
      <c r="C155" s="4">
        <v>364000</v>
      </c>
      <c r="D155" s="4">
        <v>364000</v>
      </c>
      <c r="E155" s="4">
        <v>308000</v>
      </c>
      <c r="F155" s="4">
        <f t="shared" si="13"/>
        <v>0</v>
      </c>
      <c r="G155" s="4">
        <f t="shared" si="14"/>
        <v>56000</v>
      </c>
    </row>
    <row r="156" spans="1:7" x14ac:dyDescent="0.25">
      <c r="A156" t="s">
        <v>27</v>
      </c>
      <c r="B156" s="2">
        <v>50102050</v>
      </c>
      <c r="C156" s="4">
        <f>936000+30000</f>
        <v>966000</v>
      </c>
      <c r="D156" s="10">
        <f>936000+30000</f>
        <v>966000</v>
      </c>
      <c r="E156" s="4">
        <v>294450</v>
      </c>
      <c r="F156" s="4">
        <f t="shared" si="13"/>
        <v>0</v>
      </c>
      <c r="G156" s="4">
        <f t="shared" si="14"/>
        <v>671550</v>
      </c>
    </row>
    <row r="157" spans="1:7" x14ac:dyDescent="0.25">
      <c r="A157" t="s">
        <v>28</v>
      </c>
      <c r="B157" s="2">
        <v>50102060</v>
      </c>
      <c r="C157" s="4">
        <f>93600+3000</f>
        <v>96600</v>
      </c>
      <c r="D157" s="10">
        <f>93600+3000</f>
        <v>96600</v>
      </c>
      <c r="E157" s="4">
        <v>40527.49</v>
      </c>
      <c r="F157" s="4">
        <f t="shared" si="13"/>
        <v>0</v>
      </c>
      <c r="G157" s="4">
        <f t="shared" si="14"/>
        <v>56072.51</v>
      </c>
    </row>
    <row r="158" spans="1:7" x14ac:dyDescent="0.25">
      <c r="A158" t="s">
        <v>29</v>
      </c>
      <c r="B158" s="2">
        <v>50102110</v>
      </c>
      <c r="C158" s="4">
        <f>5063462+214029</f>
        <v>5277491</v>
      </c>
      <c r="D158" s="10">
        <f>5063462+214029</f>
        <v>5277491</v>
      </c>
      <c r="E158" s="4">
        <v>2742244.35</v>
      </c>
      <c r="F158" s="4">
        <f t="shared" si="13"/>
        <v>0</v>
      </c>
      <c r="G158" s="4">
        <f t="shared" si="14"/>
        <v>2535246.65</v>
      </c>
    </row>
    <row r="159" spans="1:7" x14ac:dyDescent="0.25">
      <c r="A159" t="s">
        <v>67</v>
      </c>
      <c r="B159" s="2">
        <v>50102120</v>
      </c>
      <c r="C159" s="4">
        <v>75000</v>
      </c>
      <c r="D159" s="4">
        <v>75000</v>
      </c>
      <c r="E159" s="4">
        <v>70000</v>
      </c>
      <c r="F159" s="4">
        <f t="shared" si="13"/>
        <v>0</v>
      </c>
      <c r="G159" s="4">
        <f t="shared" si="14"/>
        <v>5000</v>
      </c>
    </row>
    <row r="160" spans="1:7" x14ac:dyDescent="0.25">
      <c r="A160" t="s">
        <v>97</v>
      </c>
      <c r="B160" s="2">
        <v>50102130</v>
      </c>
      <c r="C160" s="4">
        <v>100000</v>
      </c>
      <c r="D160" s="4">
        <v>100000</v>
      </c>
      <c r="E160" s="4">
        <v>0</v>
      </c>
      <c r="F160" s="4">
        <f t="shared" si="13"/>
        <v>0</v>
      </c>
      <c r="G160" s="4">
        <f t="shared" si="14"/>
        <v>100000</v>
      </c>
    </row>
    <row r="161" spans="1:7" x14ac:dyDescent="0.25">
      <c r="A161" t="s">
        <v>68</v>
      </c>
      <c r="B161" s="2">
        <v>50102130</v>
      </c>
      <c r="C161" s="4">
        <v>2500000</v>
      </c>
      <c r="D161" s="4">
        <v>2500000</v>
      </c>
      <c r="E161" s="4">
        <v>514135.34</v>
      </c>
      <c r="F161" s="4">
        <f t="shared" si="13"/>
        <v>0</v>
      </c>
      <c r="G161" s="4">
        <f t="shared" si="14"/>
        <v>1985864.66</v>
      </c>
    </row>
    <row r="162" spans="1:7" x14ac:dyDescent="0.25">
      <c r="A162" t="s">
        <v>72</v>
      </c>
      <c r="B162" s="2">
        <v>50102130</v>
      </c>
      <c r="C162" s="4">
        <v>1800000</v>
      </c>
      <c r="D162" s="4">
        <v>1800000</v>
      </c>
      <c r="E162" s="4">
        <v>229922.19</v>
      </c>
      <c r="F162" s="4">
        <f t="shared" si="13"/>
        <v>0</v>
      </c>
      <c r="G162" s="4">
        <f t="shared" si="14"/>
        <v>1570077.81</v>
      </c>
    </row>
    <row r="163" spans="1:7" x14ac:dyDescent="0.25">
      <c r="A163" t="s">
        <v>30</v>
      </c>
      <c r="B163" s="2">
        <v>50102140</v>
      </c>
      <c r="C163" s="4">
        <f>1936086+171223</f>
        <v>2107309</v>
      </c>
      <c r="D163" s="10">
        <f>1936086+171223</f>
        <v>2107309</v>
      </c>
      <c r="E163" s="4">
        <v>55304.6</v>
      </c>
      <c r="F163" s="4">
        <f t="shared" si="13"/>
        <v>0</v>
      </c>
      <c r="G163" s="4">
        <f t="shared" si="14"/>
        <v>2052004.4</v>
      </c>
    </row>
    <row r="164" spans="1:7" x14ac:dyDescent="0.25">
      <c r="A164" t="s">
        <v>31</v>
      </c>
      <c r="B164" s="2">
        <v>50102150</v>
      </c>
      <c r="C164" s="4">
        <f>260000+20000</f>
        <v>280000</v>
      </c>
      <c r="D164" s="10">
        <f>260000+20000</f>
        <v>280000</v>
      </c>
      <c r="E164" s="4">
        <v>8500</v>
      </c>
      <c r="F164" s="4">
        <f t="shared" si="13"/>
        <v>0</v>
      </c>
      <c r="G164" s="4">
        <f t="shared" si="14"/>
        <v>271500</v>
      </c>
    </row>
    <row r="165" spans="1:7" x14ac:dyDescent="0.25">
      <c r="A165" t="s">
        <v>32</v>
      </c>
      <c r="B165" s="2">
        <v>50102990</v>
      </c>
      <c r="C165" s="4">
        <v>903000</v>
      </c>
      <c r="D165" s="4">
        <v>903000</v>
      </c>
      <c r="E165" s="4">
        <v>280000</v>
      </c>
      <c r="F165" s="4">
        <f t="shared" si="13"/>
        <v>0</v>
      </c>
      <c r="G165" s="4">
        <f t="shared" si="14"/>
        <v>623000</v>
      </c>
    </row>
    <row r="166" spans="1:7" x14ac:dyDescent="0.25">
      <c r="A166" t="s">
        <v>33</v>
      </c>
      <c r="B166" s="2">
        <v>50102990</v>
      </c>
      <c r="C166" s="4">
        <v>1936086</v>
      </c>
      <c r="D166" s="4">
        <v>1936086</v>
      </c>
      <c r="E166" s="4">
        <v>1638225</v>
      </c>
      <c r="F166" s="4">
        <f t="shared" si="13"/>
        <v>0</v>
      </c>
      <c r="G166" s="4">
        <f t="shared" si="14"/>
        <v>297861</v>
      </c>
    </row>
    <row r="167" spans="1:7" x14ac:dyDescent="0.25">
      <c r="A167" t="s">
        <v>34</v>
      </c>
      <c r="B167" s="2">
        <v>50103010</v>
      </c>
      <c r="C167" s="4">
        <f>2787964+102734</f>
        <v>2890698</v>
      </c>
      <c r="D167" s="10">
        <f>2787964+102734</f>
        <v>2890698</v>
      </c>
      <c r="E167" s="4">
        <v>1791104.26</v>
      </c>
      <c r="F167" s="4">
        <f t="shared" si="13"/>
        <v>0</v>
      </c>
      <c r="G167" s="4">
        <f t="shared" si="14"/>
        <v>1099593.74</v>
      </c>
    </row>
    <row r="168" spans="1:7" x14ac:dyDescent="0.25">
      <c r="A168" t="s">
        <v>35</v>
      </c>
      <c r="B168" s="2">
        <v>50103020</v>
      </c>
      <c r="C168" s="4">
        <f>124800+4000</f>
        <v>128800</v>
      </c>
      <c r="D168" s="10">
        <f>124800+4000</f>
        <v>128800</v>
      </c>
      <c r="E168" s="4">
        <v>77200</v>
      </c>
      <c r="F168" s="4">
        <f t="shared" si="13"/>
        <v>0</v>
      </c>
      <c r="G168" s="4">
        <f t="shared" si="14"/>
        <v>51600</v>
      </c>
    </row>
    <row r="169" spans="1:7" x14ac:dyDescent="0.25">
      <c r="A169" t="s">
        <v>36</v>
      </c>
      <c r="B169" s="2">
        <v>50103030</v>
      </c>
      <c r="C169" s="4">
        <f>580826+21403</f>
        <v>602229</v>
      </c>
      <c r="D169" s="10">
        <f>580826+21403</f>
        <v>602229</v>
      </c>
      <c r="E169" s="4">
        <v>373369.5</v>
      </c>
      <c r="F169" s="4">
        <f t="shared" si="13"/>
        <v>0</v>
      </c>
      <c r="G169" s="4">
        <f t="shared" si="14"/>
        <v>228859.5</v>
      </c>
    </row>
    <row r="170" spans="1:7" x14ac:dyDescent="0.25">
      <c r="A170" t="s">
        <v>37</v>
      </c>
      <c r="B170" s="2">
        <v>50103040</v>
      </c>
      <c r="C170" s="4">
        <f>62400+2000</f>
        <v>64400</v>
      </c>
      <c r="D170" s="10">
        <f>62400+2000</f>
        <v>64400</v>
      </c>
      <c r="E170" s="4">
        <v>38800</v>
      </c>
      <c r="F170" s="4">
        <f t="shared" si="13"/>
        <v>0</v>
      </c>
      <c r="G170" s="4">
        <f t="shared" si="14"/>
        <v>25600</v>
      </c>
    </row>
    <row r="171" spans="1:7" x14ac:dyDescent="0.25">
      <c r="A171" t="s">
        <v>98</v>
      </c>
      <c r="B171" s="2">
        <v>50104030</v>
      </c>
      <c r="C171" s="4">
        <v>947665</v>
      </c>
      <c r="D171" s="4">
        <v>947665</v>
      </c>
      <c r="E171" s="4">
        <v>808702.1</v>
      </c>
      <c r="F171" s="4">
        <f t="shared" si="13"/>
        <v>0</v>
      </c>
      <c r="G171" s="4">
        <f t="shared" si="14"/>
        <v>138962.90000000002</v>
      </c>
    </row>
    <row r="172" spans="1:7" x14ac:dyDescent="0.25">
      <c r="A172" t="s">
        <v>38</v>
      </c>
      <c r="B172" s="2">
        <v>50104990</v>
      </c>
      <c r="C172" s="4">
        <v>260000</v>
      </c>
      <c r="D172" s="4">
        <v>260000</v>
      </c>
      <c r="E172" s="4">
        <v>0</v>
      </c>
      <c r="F172" s="4">
        <f t="shared" si="13"/>
        <v>0</v>
      </c>
      <c r="G172" s="4">
        <f t="shared" si="14"/>
        <v>260000</v>
      </c>
    </row>
    <row r="173" spans="1:7" x14ac:dyDescent="0.25">
      <c r="A173" t="s">
        <v>39</v>
      </c>
      <c r="B173" s="2">
        <v>50104990</v>
      </c>
      <c r="C173" s="4">
        <v>56000</v>
      </c>
      <c r="D173" s="4">
        <v>56000</v>
      </c>
      <c r="E173" s="4">
        <v>0</v>
      </c>
      <c r="F173" s="4">
        <f t="shared" si="13"/>
        <v>0</v>
      </c>
      <c r="G173" s="4">
        <f t="shared" si="14"/>
        <v>56000</v>
      </c>
    </row>
    <row r="174" spans="1:7" x14ac:dyDescent="0.25">
      <c r="A174" t="s">
        <v>40</v>
      </c>
      <c r="B174" s="2">
        <v>50104990</v>
      </c>
      <c r="C174" s="4">
        <v>20000</v>
      </c>
      <c r="D174" s="4">
        <v>20000</v>
      </c>
      <c r="E174" s="4">
        <v>0</v>
      </c>
      <c r="F174" s="4">
        <f t="shared" si="13"/>
        <v>0</v>
      </c>
      <c r="G174" s="4">
        <f t="shared" si="14"/>
        <v>20000</v>
      </c>
    </row>
    <row r="175" spans="1:7" x14ac:dyDescent="0.25">
      <c r="A175" t="s">
        <v>20</v>
      </c>
      <c r="B175" s="2">
        <v>50104990</v>
      </c>
      <c r="C175" s="4">
        <v>4424740</v>
      </c>
      <c r="D175" s="4">
        <v>671363.38</v>
      </c>
      <c r="E175" s="4">
        <v>671363.38</v>
      </c>
      <c r="F175" s="4">
        <f t="shared" si="13"/>
        <v>3753376.62</v>
      </c>
      <c r="G175" s="4">
        <f t="shared" si="14"/>
        <v>0</v>
      </c>
    </row>
    <row r="176" spans="1:7" x14ac:dyDescent="0.25">
      <c r="A176" s="7"/>
      <c r="B176" s="9"/>
      <c r="C176" s="11"/>
      <c r="D176" s="11"/>
      <c r="E176" s="11"/>
      <c r="F176" s="11"/>
      <c r="G176" s="11"/>
    </row>
    <row r="177" spans="1:7" s="7" customFormat="1" x14ac:dyDescent="0.25">
      <c r="A177" s="7" t="s">
        <v>41</v>
      </c>
      <c r="B177" s="9">
        <v>200</v>
      </c>
      <c r="C177" s="11">
        <v>98361300</v>
      </c>
      <c r="D177" s="11">
        <v>90633440</v>
      </c>
      <c r="E177" s="11">
        <v>51556730.869999997</v>
      </c>
      <c r="F177" s="11">
        <f t="shared" ref="F177:F216" si="15">C177-D177</f>
        <v>7727860</v>
      </c>
      <c r="G177" s="11">
        <f t="shared" ref="G177:G216" si="16">D177-E177</f>
        <v>39076709.130000003</v>
      </c>
    </row>
    <row r="178" spans="1:7" s="7" customFormat="1" x14ac:dyDescent="0.25">
      <c r="A178" s="6" t="s">
        <v>42</v>
      </c>
      <c r="B178" s="8">
        <v>50201010</v>
      </c>
      <c r="C178" s="10">
        <f>300000+200000</f>
        <v>500000</v>
      </c>
      <c r="D178" s="10">
        <f>225000+200000</f>
        <v>425000</v>
      </c>
      <c r="E178" s="10">
        <v>69665</v>
      </c>
      <c r="F178" s="10">
        <f t="shared" ref="F178:F205" si="17">C178-D178</f>
        <v>75000</v>
      </c>
      <c r="G178" s="10">
        <f t="shared" si="16"/>
        <v>355335</v>
      </c>
    </row>
    <row r="179" spans="1:7" x14ac:dyDescent="0.25">
      <c r="A179" t="s">
        <v>43</v>
      </c>
      <c r="B179" s="2">
        <v>50202010</v>
      </c>
      <c r="C179" s="4">
        <f>300000+200000</f>
        <v>500000</v>
      </c>
      <c r="D179" s="4">
        <f>225000+200000</f>
        <v>425000</v>
      </c>
      <c r="E179" s="4">
        <v>56000</v>
      </c>
      <c r="F179" s="4">
        <f t="shared" si="17"/>
        <v>75000</v>
      </c>
      <c r="G179" s="4">
        <f t="shared" si="16"/>
        <v>369000</v>
      </c>
    </row>
    <row r="180" spans="1:7" x14ac:dyDescent="0.25">
      <c r="A180" t="s">
        <v>44</v>
      </c>
      <c r="B180" s="2">
        <v>50203010</v>
      </c>
      <c r="C180" s="4">
        <v>1500000</v>
      </c>
      <c r="D180" s="4">
        <v>1125000</v>
      </c>
      <c r="E180" s="4">
        <v>389921.25</v>
      </c>
      <c r="F180" s="4">
        <f t="shared" si="17"/>
        <v>375000</v>
      </c>
      <c r="G180" s="4">
        <f t="shared" si="16"/>
        <v>735078.75</v>
      </c>
    </row>
    <row r="181" spans="1:7" x14ac:dyDescent="0.25">
      <c r="A181" t="s">
        <v>75</v>
      </c>
      <c r="B181" s="2">
        <v>50203020</v>
      </c>
      <c r="C181" s="4">
        <v>130000</v>
      </c>
      <c r="D181" s="4">
        <v>104800</v>
      </c>
      <c r="E181" s="4">
        <v>73700</v>
      </c>
      <c r="F181" s="4">
        <f t="shared" si="17"/>
        <v>25200</v>
      </c>
      <c r="G181" s="4">
        <f t="shared" si="16"/>
        <v>31100</v>
      </c>
    </row>
    <row r="182" spans="1:7" x14ac:dyDescent="0.25">
      <c r="A182" t="s">
        <v>76</v>
      </c>
      <c r="B182" s="2">
        <v>50203050</v>
      </c>
      <c r="C182" s="4">
        <v>6000000</v>
      </c>
      <c r="D182" s="4">
        <v>4500000</v>
      </c>
      <c r="E182" s="4">
        <v>3327516</v>
      </c>
      <c r="F182" s="4">
        <f t="shared" si="17"/>
        <v>1500000</v>
      </c>
      <c r="G182" s="4">
        <f t="shared" si="16"/>
        <v>1172484</v>
      </c>
    </row>
    <row r="183" spans="1:7" x14ac:dyDescent="0.25">
      <c r="A183" t="s">
        <v>45</v>
      </c>
      <c r="B183" s="2">
        <v>50203070</v>
      </c>
      <c r="C183" s="4">
        <v>4600000</v>
      </c>
      <c r="D183" s="4">
        <v>4600000</v>
      </c>
      <c r="E183" s="4">
        <v>2162970</v>
      </c>
      <c r="F183" s="4">
        <f t="shared" si="17"/>
        <v>0</v>
      </c>
      <c r="G183" s="4">
        <f t="shared" si="16"/>
        <v>2437030</v>
      </c>
    </row>
    <row r="184" spans="1:7" x14ac:dyDescent="0.25">
      <c r="A184" t="s">
        <v>46</v>
      </c>
      <c r="B184" s="2">
        <v>50203080</v>
      </c>
      <c r="C184" s="4">
        <v>16800000</v>
      </c>
      <c r="D184" s="4">
        <v>16800000</v>
      </c>
      <c r="E184" s="4">
        <v>9031268.5899999999</v>
      </c>
      <c r="F184" s="4">
        <f t="shared" si="17"/>
        <v>0</v>
      </c>
      <c r="G184" s="4">
        <f t="shared" si="16"/>
        <v>7768731.4100000001</v>
      </c>
    </row>
    <row r="185" spans="1:7" x14ac:dyDescent="0.25">
      <c r="A185" t="s">
        <v>47</v>
      </c>
      <c r="B185" s="2">
        <v>50203090</v>
      </c>
      <c r="C185" s="4">
        <v>2000000</v>
      </c>
      <c r="D185" s="4">
        <v>1500006</v>
      </c>
      <c r="E185" s="4">
        <v>1425923.53</v>
      </c>
      <c r="F185" s="4">
        <f t="shared" si="17"/>
        <v>499994</v>
      </c>
      <c r="G185" s="4">
        <f t="shared" si="16"/>
        <v>74082.469999999972</v>
      </c>
    </row>
    <row r="186" spans="1:7" x14ac:dyDescent="0.25">
      <c r="A186" t="s">
        <v>48</v>
      </c>
      <c r="B186" s="2">
        <v>50203210</v>
      </c>
      <c r="C186" s="4">
        <v>1000000</v>
      </c>
      <c r="D186" s="4">
        <v>500002</v>
      </c>
      <c r="E186" s="4">
        <v>0</v>
      </c>
      <c r="F186" s="4">
        <f t="shared" si="17"/>
        <v>499998</v>
      </c>
      <c r="G186" s="4">
        <f t="shared" si="16"/>
        <v>500002</v>
      </c>
    </row>
    <row r="187" spans="1:7" x14ac:dyDescent="0.25">
      <c r="A187" t="s">
        <v>50</v>
      </c>
      <c r="B187" s="2">
        <v>50203990</v>
      </c>
      <c r="C187" s="4">
        <v>1000000</v>
      </c>
      <c r="D187" s="4">
        <v>750006</v>
      </c>
      <c r="E187" s="4">
        <v>219539.75</v>
      </c>
      <c r="F187" s="4">
        <f t="shared" si="17"/>
        <v>249994</v>
      </c>
      <c r="G187" s="4">
        <f t="shared" si="16"/>
        <v>530466.25</v>
      </c>
    </row>
    <row r="188" spans="1:7" x14ac:dyDescent="0.25">
      <c r="A188" t="s">
        <v>77</v>
      </c>
      <c r="B188" s="2">
        <v>50203990</v>
      </c>
      <c r="C188" s="4">
        <v>92000</v>
      </c>
      <c r="D188" s="4">
        <v>69000</v>
      </c>
      <c r="E188" s="4">
        <v>54531</v>
      </c>
      <c r="F188" s="4">
        <f t="shared" si="17"/>
        <v>23000</v>
      </c>
      <c r="G188" s="4">
        <f t="shared" si="16"/>
        <v>14469</v>
      </c>
    </row>
    <row r="189" spans="1:7" x14ac:dyDescent="0.25">
      <c r="A189" t="s">
        <v>51</v>
      </c>
      <c r="B189" s="2">
        <v>50204010</v>
      </c>
      <c r="C189" s="4">
        <v>50000</v>
      </c>
      <c r="D189" s="4">
        <v>32000</v>
      </c>
      <c r="E189" s="4">
        <v>0</v>
      </c>
      <c r="F189" s="4">
        <f t="shared" si="17"/>
        <v>18000</v>
      </c>
      <c r="G189" s="4">
        <f t="shared" si="16"/>
        <v>32000</v>
      </c>
    </row>
    <row r="190" spans="1:7" x14ac:dyDescent="0.25">
      <c r="A190" t="s">
        <v>78</v>
      </c>
      <c r="B190" s="2">
        <v>50204020</v>
      </c>
      <c r="C190" s="4">
        <v>4800000</v>
      </c>
      <c r="D190" s="4">
        <v>3600000</v>
      </c>
      <c r="E190" s="4">
        <v>3224164.02</v>
      </c>
      <c r="F190" s="4">
        <f t="shared" si="17"/>
        <v>1200000</v>
      </c>
      <c r="G190" s="4">
        <f t="shared" si="16"/>
        <v>375835.98</v>
      </c>
    </row>
    <row r="191" spans="1:7" x14ac:dyDescent="0.25">
      <c r="A191" t="s">
        <v>53</v>
      </c>
      <c r="B191" s="2">
        <v>50205020</v>
      </c>
      <c r="C191" s="4">
        <v>42000</v>
      </c>
      <c r="D191" s="4">
        <v>31500</v>
      </c>
      <c r="E191" s="4">
        <v>28000</v>
      </c>
      <c r="F191" s="4">
        <f t="shared" si="17"/>
        <v>10500</v>
      </c>
      <c r="G191" s="4">
        <f t="shared" si="16"/>
        <v>3500</v>
      </c>
    </row>
    <row r="192" spans="1:7" x14ac:dyDescent="0.25">
      <c r="A192" t="s">
        <v>79</v>
      </c>
      <c r="B192" s="2">
        <v>50205030</v>
      </c>
      <c r="C192" s="4">
        <v>70000</v>
      </c>
      <c r="D192" s="4">
        <v>52501</v>
      </c>
      <c r="E192" s="4">
        <v>42670</v>
      </c>
      <c r="F192" s="4">
        <f t="shared" si="17"/>
        <v>17499</v>
      </c>
      <c r="G192" s="4">
        <f t="shared" si="16"/>
        <v>9831</v>
      </c>
    </row>
    <row r="193" spans="1:7" x14ac:dyDescent="0.25">
      <c r="A193" t="s">
        <v>80</v>
      </c>
      <c r="B193" s="2">
        <v>50205040</v>
      </c>
      <c r="C193" s="4">
        <v>5000</v>
      </c>
      <c r="D193" s="4">
        <v>5000</v>
      </c>
      <c r="E193" s="4">
        <v>0</v>
      </c>
      <c r="F193" s="4">
        <f t="shared" si="17"/>
        <v>0</v>
      </c>
      <c r="G193" s="4">
        <f t="shared" si="16"/>
        <v>5000</v>
      </c>
    </row>
    <row r="194" spans="1:7" x14ac:dyDescent="0.25">
      <c r="A194" t="s">
        <v>88</v>
      </c>
      <c r="B194" s="2">
        <v>50212010</v>
      </c>
      <c r="C194" s="4">
        <v>500000</v>
      </c>
      <c r="D194" s="4">
        <v>500000</v>
      </c>
      <c r="E194" s="4">
        <v>500000</v>
      </c>
      <c r="F194" s="4">
        <f t="shared" si="17"/>
        <v>0</v>
      </c>
      <c r="G194" s="4">
        <f t="shared" si="16"/>
        <v>0</v>
      </c>
    </row>
    <row r="195" spans="1:7" x14ac:dyDescent="0.25">
      <c r="A195" t="s">
        <v>54</v>
      </c>
      <c r="B195" s="2">
        <v>50212990</v>
      </c>
      <c r="C195" s="4">
        <f>35165300+17050000</f>
        <v>52215300</v>
      </c>
      <c r="D195" s="4">
        <f>32139310.34+17050000</f>
        <v>49189310.340000004</v>
      </c>
      <c r="E195" s="4">
        <f>27473549.04+1321382.08</f>
        <v>28794931.119999997</v>
      </c>
      <c r="F195" s="4">
        <f t="shared" si="17"/>
        <v>3025989.6599999964</v>
      </c>
      <c r="G195" s="4">
        <f t="shared" si="16"/>
        <v>20394379.220000006</v>
      </c>
    </row>
    <row r="196" spans="1:7" x14ac:dyDescent="0.25">
      <c r="A196" t="s">
        <v>99</v>
      </c>
      <c r="B196" s="2">
        <v>50212990</v>
      </c>
      <c r="C196" s="4">
        <v>887000</v>
      </c>
      <c r="D196" s="4">
        <v>754314.66</v>
      </c>
      <c r="E196" s="4">
        <v>754314.66</v>
      </c>
      <c r="F196" s="4">
        <f t="shared" si="17"/>
        <v>132685.33999999997</v>
      </c>
      <c r="G196" s="4">
        <f t="shared" si="16"/>
        <v>0</v>
      </c>
    </row>
    <row r="197" spans="1:7" x14ac:dyDescent="0.25">
      <c r="A197" t="s">
        <v>81</v>
      </c>
      <c r="B197" s="2">
        <v>50213040</v>
      </c>
      <c r="C197" s="4">
        <f>1000000+2000000</f>
        <v>3000000</v>
      </c>
      <c r="D197" s="10">
        <f>1000000+2000000</f>
        <v>3000000</v>
      </c>
      <c r="E197" s="4">
        <v>249917.2</v>
      </c>
      <c r="F197" s="4">
        <f t="shared" si="17"/>
        <v>0</v>
      </c>
      <c r="G197" s="4">
        <f t="shared" si="16"/>
        <v>2750082.8</v>
      </c>
    </row>
    <row r="198" spans="1:7" x14ac:dyDescent="0.25">
      <c r="A198" t="s">
        <v>83</v>
      </c>
      <c r="B198" s="2">
        <v>50213050</v>
      </c>
      <c r="C198" s="4">
        <v>1000000</v>
      </c>
      <c r="D198" s="4">
        <v>1000000</v>
      </c>
      <c r="E198" s="4">
        <v>650000</v>
      </c>
      <c r="F198" s="4">
        <f t="shared" si="17"/>
        <v>0</v>
      </c>
      <c r="G198" s="4">
        <f t="shared" si="16"/>
        <v>350000</v>
      </c>
    </row>
    <row r="199" spans="1:7" x14ac:dyDescent="0.25">
      <c r="A199" t="s">
        <v>56</v>
      </c>
      <c r="B199" s="2">
        <v>50213060</v>
      </c>
      <c r="C199" s="4">
        <v>1000000</v>
      </c>
      <c r="D199" s="4">
        <v>1000000</v>
      </c>
      <c r="E199" s="4">
        <v>417300</v>
      </c>
      <c r="F199" s="4">
        <f t="shared" si="17"/>
        <v>0</v>
      </c>
      <c r="G199" s="4">
        <f t="shared" si="16"/>
        <v>582700</v>
      </c>
    </row>
    <row r="200" spans="1:7" x14ac:dyDescent="0.25">
      <c r="A200" t="s">
        <v>57</v>
      </c>
      <c r="B200" s="2">
        <v>50216010</v>
      </c>
      <c r="C200" s="4">
        <v>30000</v>
      </c>
      <c r="D200" s="4">
        <v>30000</v>
      </c>
      <c r="E200" s="4">
        <v>1100</v>
      </c>
      <c r="F200" s="4">
        <f t="shared" si="17"/>
        <v>0</v>
      </c>
      <c r="G200" s="4">
        <f t="shared" si="16"/>
        <v>28900</v>
      </c>
    </row>
    <row r="201" spans="1:7" x14ac:dyDescent="0.25">
      <c r="A201" t="s">
        <v>58</v>
      </c>
      <c r="B201" s="2">
        <v>50216020</v>
      </c>
      <c r="C201" s="4">
        <v>100000</v>
      </c>
      <c r="D201" s="4">
        <v>100000</v>
      </c>
      <c r="E201" s="4">
        <v>83298.75</v>
      </c>
      <c r="F201" s="4">
        <f t="shared" si="17"/>
        <v>0</v>
      </c>
      <c r="G201" s="4">
        <f t="shared" si="16"/>
        <v>16701.25</v>
      </c>
    </row>
    <row r="202" spans="1:7" x14ac:dyDescent="0.25">
      <c r="A202" t="s">
        <v>59</v>
      </c>
      <c r="B202" s="2">
        <v>50299020</v>
      </c>
      <c r="C202" s="4">
        <v>50000</v>
      </c>
      <c r="D202" s="4">
        <v>50000</v>
      </c>
      <c r="E202" s="4">
        <v>0</v>
      </c>
      <c r="F202" s="4">
        <f t="shared" si="17"/>
        <v>0</v>
      </c>
      <c r="G202" s="4">
        <f t="shared" si="16"/>
        <v>50000</v>
      </c>
    </row>
    <row r="203" spans="1:7" x14ac:dyDescent="0.25">
      <c r="A203" t="s">
        <v>60</v>
      </c>
      <c r="B203" s="2">
        <v>50299030</v>
      </c>
      <c r="C203" s="4">
        <v>100000</v>
      </c>
      <c r="D203" s="4">
        <v>100000</v>
      </c>
      <c r="E203" s="4">
        <v>0</v>
      </c>
      <c r="F203" s="4">
        <f t="shared" si="17"/>
        <v>0</v>
      </c>
      <c r="G203" s="4">
        <f t="shared" si="16"/>
        <v>100000</v>
      </c>
    </row>
    <row r="204" spans="1:7" x14ac:dyDescent="0.25">
      <c r="A204" t="s">
        <v>87</v>
      </c>
      <c r="B204" s="2">
        <v>50299060</v>
      </c>
      <c r="C204" s="4">
        <v>30000</v>
      </c>
      <c r="D204" s="4">
        <v>30000</v>
      </c>
      <c r="E204" s="4">
        <v>0</v>
      </c>
      <c r="F204" s="4">
        <f t="shared" si="17"/>
        <v>0</v>
      </c>
      <c r="G204" s="4">
        <f t="shared" si="16"/>
        <v>30000</v>
      </c>
    </row>
    <row r="205" spans="1:7" x14ac:dyDescent="0.25">
      <c r="A205" t="s">
        <v>61</v>
      </c>
      <c r="B205" s="2">
        <v>50299990</v>
      </c>
      <c r="C205" s="4">
        <v>360000</v>
      </c>
      <c r="D205" s="4">
        <v>360000</v>
      </c>
      <c r="E205" s="4">
        <v>0</v>
      </c>
      <c r="F205" s="4">
        <f t="shared" si="17"/>
        <v>0</v>
      </c>
      <c r="G205" s="4">
        <f t="shared" si="16"/>
        <v>360000</v>
      </c>
    </row>
    <row r="206" spans="1:7" x14ac:dyDescent="0.25">
      <c r="A206" s="7"/>
      <c r="B206" s="9"/>
      <c r="C206" s="11"/>
      <c r="D206" s="11"/>
      <c r="E206" s="11"/>
      <c r="F206" s="11"/>
      <c r="G206" s="11"/>
    </row>
    <row r="207" spans="1:7" s="7" customFormat="1" x14ac:dyDescent="0.25">
      <c r="A207" s="7" t="s">
        <v>62</v>
      </c>
      <c r="B207" s="9">
        <v>300</v>
      </c>
      <c r="C207" s="11">
        <v>17000000</v>
      </c>
      <c r="D207" s="11">
        <v>17000000</v>
      </c>
      <c r="E207" s="11">
        <v>0</v>
      </c>
      <c r="F207" s="11">
        <f t="shared" si="15"/>
        <v>0</v>
      </c>
      <c r="G207" s="11">
        <f t="shared" si="16"/>
        <v>17000000</v>
      </c>
    </row>
    <row r="208" spans="1:7" x14ac:dyDescent="0.25">
      <c r="A208" t="s">
        <v>63</v>
      </c>
      <c r="B208" s="2">
        <v>10705030</v>
      </c>
      <c r="C208" s="4">
        <v>1000000</v>
      </c>
      <c r="D208" s="4">
        <v>1000000</v>
      </c>
      <c r="E208" s="4">
        <v>0</v>
      </c>
      <c r="F208" s="4">
        <f t="shared" si="15"/>
        <v>0</v>
      </c>
      <c r="G208" s="4">
        <f t="shared" si="16"/>
        <v>1000000</v>
      </c>
    </row>
    <row r="209" spans="1:7" x14ac:dyDescent="0.25">
      <c r="A209" t="s">
        <v>100</v>
      </c>
      <c r="B209" s="2">
        <v>10705110</v>
      </c>
      <c r="C209" s="4">
        <v>6500000</v>
      </c>
      <c r="D209" s="4">
        <v>6500000</v>
      </c>
      <c r="E209" s="4">
        <v>0</v>
      </c>
      <c r="F209" s="4">
        <f t="shared" si="15"/>
        <v>0</v>
      </c>
      <c r="G209" s="4">
        <f t="shared" si="16"/>
        <v>6500000</v>
      </c>
    </row>
    <row r="210" spans="1:7" x14ac:dyDescent="0.25">
      <c r="A210" t="s">
        <v>101</v>
      </c>
      <c r="B210" s="2">
        <v>10706010</v>
      </c>
      <c r="C210" s="4">
        <v>1800000</v>
      </c>
      <c r="D210" s="4">
        <v>1800000</v>
      </c>
      <c r="E210" s="4">
        <v>0</v>
      </c>
      <c r="F210" s="4">
        <f t="shared" si="15"/>
        <v>0</v>
      </c>
      <c r="G210" s="4">
        <f t="shared" si="16"/>
        <v>1800000</v>
      </c>
    </row>
    <row r="211" spans="1:7" x14ac:dyDescent="0.25">
      <c r="A211" t="s">
        <v>100</v>
      </c>
      <c r="B211" s="2">
        <v>10705110</v>
      </c>
      <c r="C211" s="4">
        <v>2000000</v>
      </c>
      <c r="D211" s="4">
        <v>2000000</v>
      </c>
      <c r="E211" s="4">
        <v>0</v>
      </c>
      <c r="F211" s="4">
        <f t="shared" si="15"/>
        <v>0</v>
      </c>
      <c r="G211" s="4">
        <f t="shared" si="16"/>
        <v>2000000</v>
      </c>
    </row>
    <row r="212" spans="1:7" x14ac:dyDescent="0.25">
      <c r="A212" t="s">
        <v>90</v>
      </c>
      <c r="B212" s="2">
        <v>10705030</v>
      </c>
      <c r="C212" s="4">
        <v>2000000</v>
      </c>
      <c r="D212" s="4">
        <v>2000000</v>
      </c>
      <c r="E212" s="4">
        <v>0</v>
      </c>
      <c r="F212" s="4">
        <f t="shared" si="15"/>
        <v>0</v>
      </c>
      <c r="G212" s="4">
        <f t="shared" si="16"/>
        <v>2000000</v>
      </c>
    </row>
    <row r="213" spans="1:7" x14ac:dyDescent="0.25">
      <c r="A213" t="s">
        <v>91</v>
      </c>
      <c r="B213" s="2">
        <v>10705110</v>
      </c>
      <c r="C213" s="4">
        <v>3700000</v>
      </c>
      <c r="D213" s="4">
        <v>3700000</v>
      </c>
      <c r="E213" s="4">
        <v>0</v>
      </c>
      <c r="F213" s="4">
        <f t="shared" si="15"/>
        <v>0</v>
      </c>
      <c r="G213" s="4">
        <f t="shared" si="16"/>
        <v>3700000</v>
      </c>
    </row>
    <row r="214" spans="1:7" x14ac:dyDescent="0.25">
      <c r="B214" s="2"/>
    </row>
    <row r="215" spans="1:7" x14ac:dyDescent="0.25">
      <c r="A215" s="1" t="s">
        <v>102</v>
      </c>
      <c r="B215" s="3" t="s">
        <v>103</v>
      </c>
      <c r="C215" s="5">
        <v>109983500</v>
      </c>
      <c r="D215" s="5">
        <v>105472726.88</v>
      </c>
      <c r="E215" s="5">
        <v>55093053.609999999</v>
      </c>
      <c r="F215" s="5">
        <f t="shared" si="15"/>
        <v>4510773.1200000048</v>
      </c>
      <c r="G215" s="5">
        <f t="shared" si="16"/>
        <v>50379673.269999996</v>
      </c>
    </row>
    <row r="216" spans="1:7" s="7" customFormat="1" x14ac:dyDescent="0.25">
      <c r="A216" s="7" t="s">
        <v>19</v>
      </c>
      <c r="B216" s="9">
        <v>100</v>
      </c>
      <c r="C216" s="11">
        <v>61174832</v>
      </c>
      <c r="D216" s="11">
        <v>56664058.880000003</v>
      </c>
      <c r="E216" s="11">
        <v>32263740.960000001</v>
      </c>
      <c r="F216" s="11">
        <f t="shared" si="15"/>
        <v>4510773.1199999973</v>
      </c>
      <c r="G216" s="11">
        <f t="shared" si="16"/>
        <v>24400317.920000002</v>
      </c>
    </row>
    <row r="217" spans="1:7" s="7" customFormat="1" x14ac:dyDescent="0.25">
      <c r="A217" s="6" t="s">
        <v>21</v>
      </c>
      <c r="B217" s="8">
        <v>50101010</v>
      </c>
      <c r="C217" s="10">
        <f>11834424+1023775</f>
        <v>12858199</v>
      </c>
      <c r="D217" s="10">
        <f>11834424+1023775</f>
        <v>12858199</v>
      </c>
      <c r="E217" s="10">
        <v>8965825.3699999992</v>
      </c>
      <c r="F217" s="10">
        <f t="shared" ref="F217:F241" si="18">C217-D217</f>
        <v>0</v>
      </c>
      <c r="G217" s="10">
        <f t="shared" ref="G217:G241" si="19">D217-E217</f>
        <v>3892373.6300000008</v>
      </c>
    </row>
    <row r="218" spans="1:7" x14ac:dyDescent="0.25">
      <c r="A218" t="s">
        <v>66</v>
      </c>
      <c r="B218" s="2">
        <v>50101020</v>
      </c>
      <c r="C218" s="4">
        <f>28230688+4945000</f>
        <v>33175688</v>
      </c>
      <c r="D218" s="10">
        <f>28230688+4945000</f>
        <v>33175688</v>
      </c>
      <c r="E218" s="4">
        <v>17069898.149999999</v>
      </c>
      <c r="F218" s="4">
        <f t="shared" si="18"/>
        <v>0</v>
      </c>
      <c r="G218" s="4">
        <f t="shared" si="19"/>
        <v>16105789.850000001</v>
      </c>
    </row>
    <row r="219" spans="1:7" x14ac:dyDescent="0.25">
      <c r="A219" t="s">
        <v>23</v>
      </c>
      <c r="B219" s="2">
        <v>50102010</v>
      </c>
      <c r="C219" s="4">
        <f>672000+40000</f>
        <v>712000</v>
      </c>
      <c r="D219" s="10">
        <f>672000+40000</f>
        <v>712000</v>
      </c>
      <c r="E219" s="4">
        <v>504774.19</v>
      </c>
      <c r="F219" s="4">
        <f t="shared" si="18"/>
        <v>0</v>
      </c>
      <c r="G219" s="4">
        <f t="shared" si="19"/>
        <v>207225.81</v>
      </c>
    </row>
    <row r="220" spans="1:7" x14ac:dyDescent="0.25">
      <c r="A220" t="s">
        <v>24</v>
      </c>
      <c r="B220" s="2">
        <v>50102020</v>
      </c>
      <c r="C220" s="4">
        <v>72000</v>
      </c>
      <c r="D220" s="4">
        <v>72000</v>
      </c>
      <c r="E220" s="4">
        <v>48000</v>
      </c>
      <c r="F220" s="4">
        <f t="shared" si="18"/>
        <v>0</v>
      </c>
      <c r="G220" s="4">
        <f t="shared" si="19"/>
        <v>24000</v>
      </c>
    </row>
    <row r="221" spans="1:7" x14ac:dyDescent="0.25">
      <c r="A221" t="s">
        <v>25</v>
      </c>
      <c r="B221" s="2">
        <v>50102030</v>
      </c>
      <c r="C221" s="4">
        <v>72000</v>
      </c>
      <c r="D221" s="4">
        <v>72000</v>
      </c>
      <c r="E221" s="4">
        <v>2375</v>
      </c>
      <c r="F221" s="4">
        <f t="shared" si="18"/>
        <v>0</v>
      </c>
      <c r="G221" s="4">
        <f t="shared" si="19"/>
        <v>69625</v>
      </c>
    </row>
    <row r="222" spans="1:7" x14ac:dyDescent="0.25">
      <c r="A222" t="s">
        <v>26</v>
      </c>
      <c r="B222" s="2">
        <v>50102040</v>
      </c>
      <c r="C222" s="4">
        <v>196000</v>
      </c>
      <c r="D222" s="4">
        <v>196000</v>
      </c>
      <c r="E222" s="4">
        <v>196000</v>
      </c>
      <c r="F222" s="4">
        <f t="shared" si="18"/>
        <v>0</v>
      </c>
      <c r="G222" s="4">
        <f t="shared" si="19"/>
        <v>0</v>
      </c>
    </row>
    <row r="223" spans="1:7" x14ac:dyDescent="0.25">
      <c r="A223" t="s">
        <v>27</v>
      </c>
      <c r="B223" s="2">
        <v>50102050</v>
      </c>
      <c r="C223" s="4">
        <f>504000+30000</f>
        <v>534000</v>
      </c>
      <c r="D223" s="10">
        <f>504000+30000</f>
        <v>534000</v>
      </c>
      <c r="E223" s="4">
        <v>180650</v>
      </c>
      <c r="F223" s="4">
        <f t="shared" si="18"/>
        <v>0</v>
      </c>
      <c r="G223" s="4">
        <f t="shared" si="19"/>
        <v>353350</v>
      </c>
    </row>
    <row r="224" spans="1:7" x14ac:dyDescent="0.25">
      <c r="A224" t="s">
        <v>28</v>
      </c>
      <c r="B224" s="2">
        <v>50102060</v>
      </c>
      <c r="C224" s="4">
        <f>50400+3000</f>
        <v>53400</v>
      </c>
      <c r="D224" s="10">
        <f>50400+3000</f>
        <v>53400</v>
      </c>
      <c r="E224" s="4">
        <v>25193.31</v>
      </c>
      <c r="F224" s="4">
        <f t="shared" si="18"/>
        <v>0</v>
      </c>
      <c r="G224" s="4">
        <f t="shared" si="19"/>
        <v>28206.69</v>
      </c>
    </row>
    <row r="225" spans="1:7" x14ac:dyDescent="0.25">
      <c r="A225" t="s">
        <v>29</v>
      </c>
      <c r="B225" s="2">
        <v>50102110</v>
      </c>
      <c r="C225" s="4">
        <f>2584884+255944</f>
        <v>2840828</v>
      </c>
      <c r="D225" s="10">
        <f>2584884+255944</f>
        <v>2840828</v>
      </c>
      <c r="E225" s="4">
        <v>1704173.95</v>
      </c>
      <c r="F225" s="4">
        <f t="shared" si="18"/>
        <v>0</v>
      </c>
      <c r="G225" s="4">
        <f t="shared" si="19"/>
        <v>1136654.05</v>
      </c>
    </row>
    <row r="226" spans="1:7" x14ac:dyDescent="0.25">
      <c r="A226" t="s">
        <v>67</v>
      </c>
      <c r="B226" s="2">
        <v>50102120</v>
      </c>
      <c r="C226" s="4">
        <v>15000</v>
      </c>
      <c r="D226" s="4">
        <v>15000</v>
      </c>
      <c r="E226" s="4">
        <v>15000</v>
      </c>
      <c r="F226" s="4">
        <f t="shared" si="18"/>
        <v>0</v>
      </c>
      <c r="G226" s="4">
        <f t="shared" si="19"/>
        <v>0</v>
      </c>
    </row>
    <row r="227" spans="1:7" x14ac:dyDescent="0.25">
      <c r="A227" t="s">
        <v>97</v>
      </c>
      <c r="B227" s="2">
        <v>50102130</v>
      </c>
      <c r="C227" s="4">
        <v>10000</v>
      </c>
      <c r="D227" s="4">
        <v>10000</v>
      </c>
      <c r="E227" s="4">
        <v>0</v>
      </c>
      <c r="F227" s="4">
        <f t="shared" si="18"/>
        <v>0</v>
      </c>
      <c r="G227" s="4">
        <f t="shared" si="19"/>
        <v>10000</v>
      </c>
    </row>
    <row r="228" spans="1:7" x14ac:dyDescent="0.25">
      <c r="A228" t="s">
        <v>68</v>
      </c>
      <c r="B228" s="2">
        <v>50102130</v>
      </c>
      <c r="C228" s="4">
        <v>398500</v>
      </c>
      <c r="D228" s="4">
        <v>398500</v>
      </c>
      <c r="E228" s="4">
        <v>365193.77</v>
      </c>
      <c r="F228" s="4">
        <f t="shared" si="18"/>
        <v>0</v>
      </c>
      <c r="G228" s="4">
        <f t="shared" si="19"/>
        <v>33306.229999999981</v>
      </c>
    </row>
    <row r="229" spans="1:7" x14ac:dyDescent="0.25">
      <c r="A229" t="s">
        <v>69</v>
      </c>
      <c r="B229" s="2">
        <v>50102130</v>
      </c>
      <c r="C229" s="4">
        <v>402000</v>
      </c>
      <c r="D229" s="4">
        <v>402000</v>
      </c>
      <c r="E229" s="4">
        <v>332138.12</v>
      </c>
      <c r="F229" s="4">
        <f t="shared" si="18"/>
        <v>0</v>
      </c>
      <c r="G229" s="4">
        <f t="shared" si="19"/>
        <v>69861.88</v>
      </c>
    </row>
    <row r="230" spans="1:7" x14ac:dyDescent="0.25">
      <c r="A230" t="s">
        <v>30</v>
      </c>
      <c r="B230" s="2">
        <v>50102140</v>
      </c>
      <c r="C230" s="4">
        <f>993702+204755</f>
        <v>1198457</v>
      </c>
      <c r="D230" s="10">
        <f>993702+204755</f>
        <v>1198457</v>
      </c>
      <c r="E230" s="4">
        <v>0</v>
      </c>
      <c r="F230" s="4">
        <f t="shared" si="18"/>
        <v>0</v>
      </c>
      <c r="G230" s="4">
        <f t="shared" si="19"/>
        <v>1198457</v>
      </c>
    </row>
    <row r="231" spans="1:7" x14ac:dyDescent="0.25">
      <c r="A231" t="s">
        <v>31</v>
      </c>
      <c r="B231" s="2">
        <v>50102150</v>
      </c>
      <c r="C231" s="4">
        <f>140000+20000</f>
        <v>160000</v>
      </c>
      <c r="D231" s="10">
        <f>140000+20000</f>
        <v>160000</v>
      </c>
      <c r="E231" s="4">
        <v>0</v>
      </c>
      <c r="F231" s="4">
        <f t="shared" si="18"/>
        <v>0</v>
      </c>
      <c r="G231" s="4">
        <f t="shared" si="19"/>
        <v>160000</v>
      </c>
    </row>
    <row r="232" spans="1:7" x14ac:dyDescent="0.25">
      <c r="A232" t="s">
        <v>32</v>
      </c>
      <c r="B232" s="2">
        <v>50102990</v>
      </c>
      <c r="C232" s="4">
        <v>196000</v>
      </c>
      <c r="D232" s="4">
        <v>196000</v>
      </c>
      <c r="E232" s="4">
        <v>196000</v>
      </c>
      <c r="F232" s="4">
        <f t="shared" si="18"/>
        <v>0</v>
      </c>
      <c r="G232" s="4">
        <f t="shared" si="19"/>
        <v>0</v>
      </c>
    </row>
    <row r="233" spans="1:7" x14ac:dyDescent="0.25">
      <c r="A233" t="s">
        <v>33</v>
      </c>
      <c r="B233" s="2">
        <v>50102990</v>
      </c>
      <c r="C233" s="4">
        <v>993702</v>
      </c>
      <c r="D233" s="4">
        <v>993702</v>
      </c>
      <c r="E233" s="4">
        <v>986202</v>
      </c>
      <c r="F233" s="4">
        <f t="shared" si="18"/>
        <v>0</v>
      </c>
      <c r="G233" s="4">
        <f t="shared" si="19"/>
        <v>7500</v>
      </c>
    </row>
    <row r="234" spans="1:7" x14ac:dyDescent="0.25">
      <c r="A234" t="s">
        <v>34</v>
      </c>
      <c r="B234" s="2">
        <v>50103010</v>
      </c>
      <c r="C234" s="4">
        <f>1420131+122853</f>
        <v>1542984</v>
      </c>
      <c r="D234" s="10">
        <f>1420131+122853</f>
        <v>1542984</v>
      </c>
      <c r="E234" s="4">
        <v>1077112.24</v>
      </c>
      <c r="F234" s="4">
        <f t="shared" si="18"/>
        <v>0</v>
      </c>
      <c r="G234" s="4">
        <f t="shared" si="19"/>
        <v>465871.76</v>
      </c>
    </row>
    <row r="235" spans="1:7" x14ac:dyDescent="0.25">
      <c r="A235" t="s">
        <v>35</v>
      </c>
      <c r="B235" s="2">
        <v>50103020</v>
      </c>
      <c r="C235" s="4">
        <f>67200+4000</f>
        <v>71200</v>
      </c>
      <c r="D235" s="10">
        <f>67200+4000</f>
        <v>71200</v>
      </c>
      <c r="E235" s="4">
        <v>50600</v>
      </c>
      <c r="F235" s="4">
        <f t="shared" si="18"/>
        <v>0</v>
      </c>
      <c r="G235" s="4">
        <f t="shared" si="19"/>
        <v>20600</v>
      </c>
    </row>
    <row r="236" spans="1:7" x14ac:dyDescent="0.25">
      <c r="A236" t="s">
        <v>36</v>
      </c>
      <c r="B236" s="2">
        <v>50103030</v>
      </c>
      <c r="C236" s="4">
        <f>295861+25595</f>
        <v>321456</v>
      </c>
      <c r="D236" s="10">
        <f>295861+25595</f>
        <v>321456</v>
      </c>
      <c r="E236" s="4">
        <v>224337.98</v>
      </c>
      <c r="F236" s="4">
        <f t="shared" si="18"/>
        <v>0</v>
      </c>
      <c r="G236" s="4">
        <f t="shared" si="19"/>
        <v>97118.01999999999</v>
      </c>
    </row>
    <row r="237" spans="1:7" x14ac:dyDescent="0.25">
      <c r="A237" t="s">
        <v>37</v>
      </c>
      <c r="B237" s="2">
        <v>50103040</v>
      </c>
      <c r="C237" s="4">
        <f>33600+2000</f>
        <v>35600</v>
      </c>
      <c r="D237" s="10">
        <f>33600+2000</f>
        <v>35600</v>
      </c>
      <c r="E237" s="4">
        <v>25300</v>
      </c>
      <c r="F237" s="4">
        <f t="shared" si="18"/>
        <v>0</v>
      </c>
      <c r="G237" s="4">
        <f t="shared" si="19"/>
        <v>10300</v>
      </c>
    </row>
    <row r="238" spans="1:7" x14ac:dyDescent="0.25">
      <c r="A238" t="s">
        <v>38</v>
      </c>
      <c r="B238" s="2">
        <v>50104990</v>
      </c>
      <c r="C238" s="4">
        <v>140000</v>
      </c>
      <c r="D238" s="4">
        <v>140000</v>
      </c>
      <c r="E238" s="4">
        <v>0</v>
      </c>
      <c r="F238" s="4">
        <f t="shared" si="18"/>
        <v>0</v>
      </c>
      <c r="G238" s="4">
        <f t="shared" si="19"/>
        <v>140000</v>
      </c>
    </row>
    <row r="239" spans="1:7" x14ac:dyDescent="0.25">
      <c r="A239" t="s">
        <v>39</v>
      </c>
      <c r="B239" s="2">
        <v>50104990</v>
      </c>
      <c r="C239" s="4">
        <v>285078</v>
      </c>
      <c r="D239" s="4">
        <v>285078</v>
      </c>
      <c r="E239" s="4">
        <v>0</v>
      </c>
      <c r="F239" s="4">
        <f t="shared" si="18"/>
        <v>0</v>
      </c>
      <c r="G239" s="4">
        <f t="shared" si="19"/>
        <v>285078</v>
      </c>
    </row>
    <row r="240" spans="1:7" x14ac:dyDescent="0.25">
      <c r="A240" t="s">
        <v>40</v>
      </c>
      <c r="B240" s="2">
        <v>50104990</v>
      </c>
      <c r="C240" s="4">
        <v>20000</v>
      </c>
      <c r="D240" s="4">
        <v>20000</v>
      </c>
      <c r="E240" s="4">
        <v>0</v>
      </c>
      <c r="F240" s="4">
        <f t="shared" si="18"/>
        <v>0</v>
      </c>
      <c r="G240" s="4">
        <f t="shared" si="19"/>
        <v>20000</v>
      </c>
    </row>
    <row r="241" spans="1:7" x14ac:dyDescent="0.25">
      <c r="A241" t="s">
        <v>20</v>
      </c>
      <c r="B241" s="2">
        <v>50104990</v>
      </c>
      <c r="C241" s="4">
        <v>4870740</v>
      </c>
      <c r="D241" s="4">
        <v>359966.88</v>
      </c>
      <c r="E241" s="4">
        <v>294966.88</v>
      </c>
      <c r="F241" s="4">
        <f t="shared" si="18"/>
        <v>4510773.12</v>
      </c>
      <c r="G241" s="4">
        <f t="shared" si="19"/>
        <v>65000</v>
      </c>
    </row>
    <row r="242" spans="1:7" x14ac:dyDescent="0.25">
      <c r="A242" s="7"/>
      <c r="B242" s="9"/>
      <c r="C242" s="11"/>
      <c r="D242" s="11"/>
      <c r="E242" s="11"/>
      <c r="F242" s="11"/>
      <c r="G242" s="11"/>
    </row>
    <row r="243" spans="1:7" s="7" customFormat="1" x14ac:dyDescent="0.25">
      <c r="A243" s="7" t="s">
        <v>41</v>
      </c>
      <c r="B243" s="9">
        <v>200</v>
      </c>
      <c r="C243" s="11">
        <v>47023668</v>
      </c>
      <c r="D243" s="11">
        <v>47023668</v>
      </c>
      <c r="E243" s="11">
        <v>22829312.649999999</v>
      </c>
      <c r="F243" s="11">
        <f t="shared" ref="F243:F273" si="20">C243-D243</f>
        <v>0</v>
      </c>
      <c r="G243" s="11">
        <f t="shared" ref="G243:G273" si="21">D243-E243</f>
        <v>24194355.350000001</v>
      </c>
    </row>
    <row r="244" spans="1:7" s="7" customFormat="1" x14ac:dyDescent="0.25">
      <c r="A244" s="6" t="s">
        <v>42</v>
      </c>
      <c r="B244" s="8">
        <v>50201010</v>
      </c>
      <c r="C244" s="10">
        <v>100000</v>
      </c>
      <c r="D244" s="10">
        <v>100000</v>
      </c>
      <c r="E244" s="10">
        <v>72680</v>
      </c>
      <c r="F244" s="10">
        <f t="shared" ref="F244:F269" si="22">C244-D244</f>
        <v>0</v>
      </c>
      <c r="G244" s="10">
        <f t="shared" si="21"/>
        <v>27320</v>
      </c>
    </row>
    <row r="245" spans="1:7" x14ac:dyDescent="0.25">
      <c r="A245" t="s">
        <v>43</v>
      </c>
      <c r="B245" s="2">
        <v>50202010</v>
      </c>
      <c r="C245" s="4">
        <v>250000</v>
      </c>
      <c r="D245" s="4">
        <v>250000</v>
      </c>
      <c r="E245" s="4">
        <v>19080</v>
      </c>
      <c r="F245" s="4">
        <f t="shared" si="22"/>
        <v>0</v>
      </c>
      <c r="G245" s="4">
        <f t="shared" si="21"/>
        <v>230920</v>
      </c>
    </row>
    <row r="246" spans="1:7" x14ac:dyDescent="0.25">
      <c r="A246" t="s">
        <v>44</v>
      </c>
      <c r="B246" s="2">
        <v>50203010</v>
      </c>
      <c r="C246" s="4">
        <v>500000</v>
      </c>
      <c r="D246" s="4">
        <v>500000</v>
      </c>
      <c r="E246" s="4">
        <v>189133.8</v>
      </c>
      <c r="F246" s="4">
        <f t="shared" si="22"/>
        <v>0</v>
      </c>
      <c r="G246" s="4">
        <f t="shared" si="21"/>
        <v>310866.2</v>
      </c>
    </row>
    <row r="247" spans="1:7" x14ac:dyDescent="0.25">
      <c r="A247" t="s">
        <v>75</v>
      </c>
      <c r="B247" s="2">
        <v>50203020</v>
      </c>
      <c r="C247" s="4">
        <v>70000</v>
      </c>
      <c r="D247" s="4">
        <v>70000</v>
      </c>
      <c r="E247" s="4">
        <v>58750</v>
      </c>
      <c r="F247" s="4">
        <f t="shared" si="22"/>
        <v>0</v>
      </c>
      <c r="G247" s="4">
        <f t="shared" si="21"/>
        <v>11250</v>
      </c>
    </row>
    <row r="248" spans="1:7" x14ac:dyDescent="0.25">
      <c r="A248" t="s">
        <v>76</v>
      </c>
      <c r="B248" s="2">
        <v>50203050</v>
      </c>
      <c r="C248" s="4">
        <f>1600000+1300000</f>
        <v>2900000</v>
      </c>
      <c r="D248" s="10">
        <f>1600000+1300000</f>
        <v>2900000</v>
      </c>
      <c r="E248" s="4">
        <f>1542975.3+187666</f>
        <v>1730641.3</v>
      </c>
      <c r="F248" s="4">
        <f t="shared" si="22"/>
        <v>0</v>
      </c>
      <c r="G248" s="4">
        <f t="shared" si="21"/>
        <v>1169358.7</v>
      </c>
    </row>
    <row r="249" spans="1:7" x14ac:dyDescent="0.25">
      <c r="A249" t="s">
        <v>45</v>
      </c>
      <c r="B249" s="2">
        <v>50203070</v>
      </c>
      <c r="C249" s="4">
        <f>450000+600000</f>
        <v>1050000</v>
      </c>
      <c r="D249" s="10">
        <f>450000+600000</f>
        <v>1050000</v>
      </c>
      <c r="E249" s="4">
        <v>449986.2</v>
      </c>
      <c r="F249" s="4">
        <f t="shared" si="22"/>
        <v>0</v>
      </c>
      <c r="G249" s="4">
        <f t="shared" si="21"/>
        <v>600013.80000000005</v>
      </c>
    </row>
    <row r="250" spans="1:7" x14ac:dyDescent="0.25">
      <c r="A250" t="s">
        <v>46</v>
      </c>
      <c r="B250" s="2">
        <v>50203080</v>
      </c>
      <c r="C250" s="4">
        <f>7219000+100000</f>
        <v>7319000</v>
      </c>
      <c r="D250" s="10">
        <f>7219000+100000</f>
        <v>7319000</v>
      </c>
      <c r="E250" s="4">
        <f>4739811.45+61000</f>
        <v>4800811.45</v>
      </c>
      <c r="F250" s="4">
        <f t="shared" si="22"/>
        <v>0</v>
      </c>
      <c r="G250" s="4">
        <f t="shared" si="21"/>
        <v>2518188.5499999998</v>
      </c>
    </row>
    <row r="251" spans="1:7" x14ac:dyDescent="0.25">
      <c r="A251" t="s">
        <v>47</v>
      </c>
      <c r="B251" s="2">
        <v>50203090</v>
      </c>
      <c r="C251" s="4">
        <v>1800000</v>
      </c>
      <c r="D251" s="4">
        <v>1800000</v>
      </c>
      <c r="E251" s="4">
        <v>961096.92</v>
      </c>
      <c r="F251" s="4">
        <f t="shared" si="22"/>
        <v>0</v>
      </c>
      <c r="G251" s="4">
        <f t="shared" si="21"/>
        <v>838903.08</v>
      </c>
    </row>
    <row r="252" spans="1:7" x14ac:dyDescent="0.25">
      <c r="A252" t="s">
        <v>48</v>
      </c>
      <c r="B252" s="2">
        <v>50203210</v>
      </c>
      <c r="C252" s="4">
        <v>1500000</v>
      </c>
      <c r="D252" s="4">
        <v>1500000</v>
      </c>
      <c r="E252" s="4">
        <v>0</v>
      </c>
      <c r="F252" s="4">
        <f t="shared" si="22"/>
        <v>0</v>
      </c>
      <c r="G252" s="4">
        <f t="shared" si="21"/>
        <v>1500000</v>
      </c>
    </row>
    <row r="253" spans="1:7" x14ac:dyDescent="0.25">
      <c r="A253" t="s">
        <v>50</v>
      </c>
      <c r="B253" s="2">
        <v>50203990</v>
      </c>
      <c r="C253" s="4">
        <v>380000</v>
      </c>
      <c r="D253" s="4">
        <v>380000</v>
      </c>
      <c r="E253" s="4">
        <v>181112</v>
      </c>
      <c r="F253" s="4">
        <f t="shared" si="22"/>
        <v>0</v>
      </c>
      <c r="G253" s="4">
        <f t="shared" si="21"/>
        <v>198888</v>
      </c>
    </row>
    <row r="254" spans="1:7" x14ac:dyDescent="0.25">
      <c r="A254" t="s">
        <v>77</v>
      </c>
      <c r="B254" s="2">
        <v>50203990</v>
      </c>
      <c r="C254" s="4">
        <v>65000</v>
      </c>
      <c r="D254" s="4">
        <v>65000</v>
      </c>
      <c r="E254" s="4">
        <v>57752</v>
      </c>
      <c r="F254" s="4">
        <f t="shared" si="22"/>
        <v>0</v>
      </c>
      <c r="G254" s="4">
        <f t="shared" si="21"/>
        <v>7248</v>
      </c>
    </row>
    <row r="255" spans="1:7" x14ac:dyDescent="0.25">
      <c r="A255" t="s">
        <v>51</v>
      </c>
      <c r="B255" s="2">
        <v>50204010</v>
      </c>
      <c r="C255" s="4">
        <v>5000</v>
      </c>
      <c r="D255" s="4">
        <v>5000</v>
      </c>
      <c r="E255" s="4">
        <v>0</v>
      </c>
      <c r="F255" s="4">
        <f t="shared" si="22"/>
        <v>0</v>
      </c>
      <c r="G255" s="4">
        <f t="shared" si="21"/>
        <v>5000</v>
      </c>
    </row>
    <row r="256" spans="1:7" x14ac:dyDescent="0.25">
      <c r="A256" t="s">
        <v>78</v>
      </c>
      <c r="B256" s="2">
        <v>50204020</v>
      </c>
      <c r="C256" s="4">
        <f>2100000+1270000</f>
        <v>3370000</v>
      </c>
      <c r="D256" s="10">
        <f>2100000+1270000</f>
        <v>3370000</v>
      </c>
      <c r="E256" s="4">
        <v>1656134.45</v>
      </c>
      <c r="F256" s="4">
        <f t="shared" si="22"/>
        <v>0</v>
      </c>
      <c r="G256" s="4">
        <f t="shared" si="21"/>
        <v>1713865.55</v>
      </c>
    </row>
    <row r="257" spans="1:7" x14ac:dyDescent="0.25">
      <c r="A257" t="s">
        <v>53</v>
      </c>
      <c r="B257" s="2">
        <v>50205020</v>
      </c>
      <c r="C257" s="4">
        <v>42000</v>
      </c>
      <c r="D257" s="4">
        <v>42000</v>
      </c>
      <c r="E257" s="4">
        <v>31000</v>
      </c>
      <c r="F257" s="4">
        <f t="shared" si="22"/>
        <v>0</v>
      </c>
      <c r="G257" s="4">
        <f t="shared" si="21"/>
        <v>11000</v>
      </c>
    </row>
    <row r="258" spans="1:7" x14ac:dyDescent="0.25">
      <c r="A258" t="s">
        <v>79</v>
      </c>
      <c r="B258" s="2">
        <v>50205030</v>
      </c>
      <c r="C258" s="4">
        <v>80000</v>
      </c>
      <c r="D258" s="4">
        <v>80000</v>
      </c>
      <c r="E258" s="4">
        <v>21000</v>
      </c>
      <c r="F258" s="4">
        <f t="shared" si="22"/>
        <v>0</v>
      </c>
      <c r="G258" s="4">
        <f t="shared" si="21"/>
        <v>59000</v>
      </c>
    </row>
    <row r="259" spans="1:7" x14ac:dyDescent="0.25">
      <c r="A259" t="s">
        <v>88</v>
      </c>
      <c r="B259" s="2">
        <v>50212010</v>
      </c>
      <c r="C259" s="4">
        <v>500000</v>
      </c>
      <c r="D259" s="4">
        <v>500000</v>
      </c>
      <c r="E259" s="4">
        <v>0</v>
      </c>
      <c r="F259" s="4">
        <f t="shared" si="22"/>
        <v>0</v>
      </c>
      <c r="G259" s="4">
        <f t="shared" si="21"/>
        <v>500000</v>
      </c>
    </row>
    <row r="260" spans="1:7" x14ac:dyDescent="0.25">
      <c r="A260" t="s">
        <v>54</v>
      </c>
      <c r="B260" s="2">
        <v>50212990</v>
      </c>
      <c r="C260" s="4">
        <f>7472668+15095000+2950000</f>
        <v>25517668</v>
      </c>
      <c r="D260" s="10">
        <f>7472668+15095000+2950000</f>
        <v>25517668</v>
      </c>
      <c r="E260" s="4">
        <f>7470243.64+4799615.31</f>
        <v>12269858.949999999</v>
      </c>
      <c r="F260" s="4">
        <f t="shared" si="22"/>
        <v>0</v>
      </c>
      <c r="G260" s="4">
        <f t="shared" si="21"/>
        <v>13247809.050000001</v>
      </c>
    </row>
    <row r="261" spans="1:7" x14ac:dyDescent="0.25">
      <c r="A261" t="s">
        <v>99</v>
      </c>
      <c r="B261" s="2">
        <v>50212990</v>
      </c>
      <c r="C261" s="4">
        <v>153000</v>
      </c>
      <c r="D261" s="4">
        <v>153000</v>
      </c>
      <c r="E261" s="4">
        <v>123200.58</v>
      </c>
      <c r="F261" s="4">
        <f t="shared" si="22"/>
        <v>0</v>
      </c>
      <c r="G261" s="4">
        <f t="shared" si="21"/>
        <v>29799.42</v>
      </c>
    </row>
    <row r="262" spans="1:7" x14ac:dyDescent="0.25">
      <c r="A262" t="s">
        <v>81</v>
      </c>
      <c r="B262" s="2">
        <v>50213040</v>
      </c>
      <c r="C262" s="4">
        <f>20000+100000+500000</f>
        <v>620000</v>
      </c>
      <c r="D262" s="10">
        <f>20000+100000+500000</f>
        <v>620000</v>
      </c>
      <c r="E262" s="4">
        <v>0</v>
      </c>
      <c r="F262" s="4">
        <f t="shared" si="22"/>
        <v>0</v>
      </c>
      <c r="G262" s="4">
        <f t="shared" si="21"/>
        <v>620000</v>
      </c>
    </row>
    <row r="263" spans="1:7" x14ac:dyDescent="0.25">
      <c r="A263" t="s">
        <v>55</v>
      </c>
      <c r="B263" s="2">
        <v>50213050</v>
      </c>
      <c r="C263" s="4">
        <v>20000</v>
      </c>
      <c r="D263" s="4">
        <v>20000</v>
      </c>
      <c r="E263" s="4">
        <v>0</v>
      </c>
      <c r="F263" s="4">
        <f t="shared" si="22"/>
        <v>0</v>
      </c>
      <c r="G263" s="4">
        <f t="shared" si="21"/>
        <v>20000</v>
      </c>
    </row>
    <row r="264" spans="1:7" x14ac:dyDescent="0.25">
      <c r="A264" t="s">
        <v>56</v>
      </c>
      <c r="B264" s="2">
        <v>50213060</v>
      </c>
      <c r="C264" s="4">
        <v>400000</v>
      </c>
      <c r="D264" s="4">
        <v>400000</v>
      </c>
      <c r="E264" s="4">
        <v>179700</v>
      </c>
      <c r="F264" s="4">
        <f t="shared" si="22"/>
        <v>0</v>
      </c>
      <c r="G264" s="4">
        <f t="shared" si="21"/>
        <v>220300</v>
      </c>
    </row>
    <row r="265" spans="1:7" x14ac:dyDescent="0.25">
      <c r="A265" t="s">
        <v>57</v>
      </c>
      <c r="B265" s="2">
        <v>50216010</v>
      </c>
      <c r="C265" s="4">
        <v>30000</v>
      </c>
      <c r="D265" s="4">
        <v>30000</v>
      </c>
      <c r="E265" s="4">
        <v>0</v>
      </c>
      <c r="F265" s="4">
        <f t="shared" si="22"/>
        <v>0</v>
      </c>
      <c r="G265" s="4">
        <f t="shared" si="21"/>
        <v>30000</v>
      </c>
    </row>
    <row r="266" spans="1:7" x14ac:dyDescent="0.25">
      <c r="A266" t="s">
        <v>58</v>
      </c>
      <c r="B266" s="2">
        <v>50216020</v>
      </c>
      <c r="C266" s="4">
        <v>35000</v>
      </c>
      <c r="D266" s="4">
        <v>35000</v>
      </c>
      <c r="E266" s="4">
        <v>27375</v>
      </c>
      <c r="F266" s="4">
        <f t="shared" si="22"/>
        <v>0</v>
      </c>
      <c r="G266" s="4">
        <f t="shared" si="21"/>
        <v>7625</v>
      </c>
    </row>
    <row r="267" spans="1:7" x14ac:dyDescent="0.25">
      <c r="A267" t="s">
        <v>59</v>
      </c>
      <c r="B267" s="2">
        <v>50299020</v>
      </c>
      <c r="C267" s="4">
        <v>5000</v>
      </c>
      <c r="D267" s="4">
        <v>5000</v>
      </c>
      <c r="E267" s="4">
        <v>0</v>
      </c>
      <c r="F267" s="4">
        <f t="shared" si="22"/>
        <v>0</v>
      </c>
      <c r="G267" s="4">
        <f t="shared" si="21"/>
        <v>5000</v>
      </c>
    </row>
    <row r="268" spans="1:7" x14ac:dyDescent="0.25">
      <c r="A268" t="s">
        <v>87</v>
      </c>
      <c r="B268" s="2">
        <v>50299060</v>
      </c>
      <c r="C268" s="4">
        <v>12000</v>
      </c>
      <c r="D268" s="4">
        <v>12000</v>
      </c>
      <c r="E268" s="4">
        <v>0</v>
      </c>
      <c r="F268" s="4">
        <f t="shared" si="22"/>
        <v>0</v>
      </c>
      <c r="G268" s="4">
        <f t="shared" si="21"/>
        <v>12000</v>
      </c>
    </row>
    <row r="269" spans="1:7" x14ac:dyDescent="0.25">
      <c r="A269" t="s">
        <v>61</v>
      </c>
      <c r="B269" s="2">
        <v>50299990</v>
      </c>
      <c r="C269" s="4">
        <v>300000</v>
      </c>
      <c r="D269" s="4">
        <v>300000</v>
      </c>
      <c r="E269" s="4">
        <v>0</v>
      </c>
      <c r="F269" s="4">
        <f t="shared" si="22"/>
        <v>0</v>
      </c>
      <c r="G269" s="4">
        <f t="shared" si="21"/>
        <v>300000</v>
      </c>
    </row>
    <row r="270" spans="1:7" x14ac:dyDescent="0.25">
      <c r="A270" s="7"/>
      <c r="B270" s="9"/>
      <c r="C270" s="11"/>
      <c r="D270" s="11"/>
      <c r="E270" s="11"/>
      <c r="F270" s="11"/>
      <c r="G270" s="11"/>
    </row>
    <row r="271" spans="1:7" s="7" customFormat="1" x14ac:dyDescent="0.25">
      <c r="A271" s="7" t="s">
        <v>62</v>
      </c>
      <c r="B271" s="9">
        <v>300</v>
      </c>
      <c r="C271" s="11">
        <v>1785000</v>
      </c>
      <c r="D271" s="11">
        <v>1785000</v>
      </c>
      <c r="E271" s="11">
        <v>0</v>
      </c>
      <c r="F271" s="11">
        <f t="shared" si="20"/>
        <v>0</v>
      </c>
      <c r="G271" s="11">
        <f t="shared" si="21"/>
        <v>1785000</v>
      </c>
    </row>
    <row r="272" spans="1:7" x14ac:dyDescent="0.25">
      <c r="A272" t="s">
        <v>104</v>
      </c>
      <c r="B272" s="2">
        <v>10705070</v>
      </c>
      <c r="C272" s="4">
        <v>200000</v>
      </c>
      <c r="D272" s="4">
        <v>200000</v>
      </c>
      <c r="E272" s="4">
        <v>0</v>
      </c>
      <c r="F272" s="4">
        <f t="shared" si="20"/>
        <v>0</v>
      </c>
      <c r="G272" s="4">
        <f t="shared" si="21"/>
        <v>200000</v>
      </c>
    </row>
    <row r="273" spans="1:7" x14ac:dyDescent="0.25">
      <c r="A273" t="s">
        <v>105</v>
      </c>
      <c r="B273" s="2">
        <v>10705070</v>
      </c>
      <c r="C273" s="4">
        <v>170000</v>
      </c>
      <c r="D273" s="4">
        <v>170000</v>
      </c>
      <c r="E273" s="4">
        <v>0</v>
      </c>
      <c r="F273" s="4">
        <f t="shared" si="20"/>
        <v>0</v>
      </c>
      <c r="G273" s="4">
        <f t="shared" si="21"/>
        <v>170000</v>
      </c>
    </row>
    <row r="274" spans="1:7" x14ac:dyDescent="0.25">
      <c r="A274" t="s">
        <v>91</v>
      </c>
      <c r="B274" s="2">
        <v>10705110</v>
      </c>
      <c r="C274" s="4">
        <v>1415000</v>
      </c>
      <c r="D274" s="4">
        <v>1415000</v>
      </c>
      <c r="E274" s="4">
        <v>0</v>
      </c>
      <c r="F274" s="4">
        <f t="shared" ref="F274:F301" si="23">C274-D274</f>
        <v>0</v>
      </c>
      <c r="G274" s="4">
        <f t="shared" ref="G274:G301" si="24">D274-E274</f>
        <v>1415000</v>
      </c>
    </row>
    <row r="275" spans="1:7" x14ac:dyDescent="0.25">
      <c r="B275" s="2"/>
    </row>
    <row r="276" spans="1:7" x14ac:dyDescent="0.25">
      <c r="A276" s="1" t="s">
        <v>106</v>
      </c>
      <c r="B276" s="3" t="s">
        <v>107</v>
      </c>
      <c r="C276" s="5">
        <v>120158000</v>
      </c>
      <c r="D276" s="5">
        <v>113948254.06</v>
      </c>
      <c r="E276" s="5">
        <v>59890291.329999998</v>
      </c>
      <c r="F276" s="5">
        <f t="shared" si="23"/>
        <v>6209745.9399999976</v>
      </c>
      <c r="G276" s="5">
        <f t="shared" si="24"/>
        <v>54057962.730000004</v>
      </c>
    </row>
    <row r="277" spans="1:7" s="7" customFormat="1" x14ac:dyDescent="0.25">
      <c r="A277" s="7" t="s">
        <v>19</v>
      </c>
      <c r="B277" s="9">
        <v>100</v>
      </c>
      <c r="C277" s="11">
        <v>56083528</v>
      </c>
      <c r="D277" s="11">
        <v>49873782.060000002</v>
      </c>
      <c r="E277" s="11">
        <v>29731508.760000002</v>
      </c>
      <c r="F277" s="11">
        <f t="shared" si="23"/>
        <v>6209745.9399999976</v>
      </c>
      <c r="G277" s="11">
        <f t="shared" si="24"/>
        <v>20142273.300000001</v>
      </c>
    </row>
    <row r="278" spans="1:7" s="7" customFormat="1" x14ac:dyDescent="0.25">
      <c r="A278" s="6" t="s">
        <v>21</v>
      </c>
      <c r="B278" s="8">
        <v>50101010</v>
      </c>
      <c r="C278" s="10">
        <f>11628276+1023775</f>
        <v>12652051</v>
      </c>
      <c r="D278" s="10">
        <f>11628276+1023775</f>
        <v>12652051</v>
      </c>
      <c r="E278" s="10">
        <v>8776868.6999999993</v>
      </c>
      <c r="F278" s="10">
        <f t="shared" ref="F278:F299" si="25">C278-D278</f>
        <v>0</v>
      </c>
      <c r="G278" s="10">
        <f t="shared" si="24"/>
        <v>3875182.3000000007</v>
      </c>
    </row>
    <row r="279" spans="1:7" x14ac:dyDescent="0.25">
      <c r="A279" t="s">
        <v>66</v>
      </c>
      <c r="B279" s="2">
        <v>50101020</v>
      </c>
      <c r="C279" s="4">
        <v>27294862</v>
      </c>
      <c r="D279" s="4">
        <v>27294862</v>
      </c>
      <c r="E279" s="4">
        <v>15685258.01</v>
      </c>
      <c r="F279" s="4">
        <f t="shared" si="25"/>
        <v>0</v>
      </c>
      <c r="G279" s="4">
        <f t="shared" si="24"/>
        <v>11609603.99</v>
      </c>
    </row>
    <row r="280" spans="1:7" x14ac:dyDescent="0.25">
      <c r="A280" t="s">
        <v>23</v>
      </c>
      <c r="B280" s="2">
        <v>50102010</v>
      </c>
      <c r="C280" s="4">
        <f>672000+40000</f>
        <v>712000</v>
      </c>
      <c r="D280" s="10">
        <f>672000+40000</f>
        <v>712000</v>
      </c>
      <c r="E280" s="4">
        <v>504000</v>
      </c>
      <c r="F280" s="4">
        <f t="shared" si="25"/>
        <v>0</v>
      </c>
      <c r="G280" s="4">
        <f t="shared" si="24"/>
        <v>208000</v>
      </c>
    </row>
    <row r="281" spans="1:7" x14ac:dyDescent="0.25">
      <c r="A281" t="s">
        <v>24</v>
      </c>
      <c r="B281" s="2">
        <v>50102020</v>
      </c>
      <c r="C281" s="4">
        <v>60000</v>
      </c>
      <c r="D281" s="4">
        <v>60000</v>
      </c>
      <c r="E281" s="4">
        <v>48000</v>
      </c>
      <c r="F281" s="4">
        <f t="shared" si="25"/>
        <v>0</v>
      </c>
      <c r="G281" s="4">
        <f t="shared" si="24"/>
        <v>12000</v>
      </c>
    </row>
    <row r="282" spans="1:7" x14ac:dyDescent="0.25">
      <c r="A282" t="s">
        <v>25</v>
      </c>
      <c r="B282" s="2">
        <v>50102030</v>
      </c>
      <c r="C282" s="4">
        <v>60000</v>
      </c>
      <c r="D282" s="4">
        <v>60000</v>
      </c>
      <c r="E282" s="4">
        <v>2375</v>
      </c>
      <c r="F282" s="4">
        <f t="shared" si="25"/>
        <v>0</v>
      </c>
      <c r="G282" s="4">
        <f t="shared" si="24"/>
        <v>57625</v>
      </c>
    </row>
    <row r="283" spans="1:7" x14ac:dyDescent="0.25">
      <c r="A283" t="s">
        <v>26</v>
      </c>
      <c r="B283" s="2">
        <v>50102040</v>
      </c>
      <c r="C283" s="4">
        <v>196000</v>
      </c>
      <c r="D283" s="4">
        <v>196000</v>
      </c>
      <c r="E283" s="4">
        <v>196000</v>
      </c>
      <c r="F283" s="4">
        <f t="shared" si="25"/>
        <v>0</v>
      </c>
      <c r="G283" s="4">
        <f t="shared" si="24"/>
        <v>0</v>
      </c>
    </row>
    <row r="284" spans="1:7" x14ac:dyDescent="0.25">
      <c r="A284" t="s">
        <v>27</v>
      </c>
      <c r="B284" s="2">
        <v>50102050</v>
      </c>
      <c r="C284" s="4">
        <f>504000+30000</f>
        <v>534000</v>
      </c>
      <c r="D284" s="10">
        <f>504000+30000</f>
        <v>534000</v>
      </c>
      <c r="E284" s="4">
        <v>181250</v>
      </c>
      <c r="F284" s="4">
        <f t="shared" si="25"/>
        <v>0</v>
      </c>
      <c r="G284" s="4">
        <f t="shared" si="24"/>
        <v>352750</v>
      </c>
    </row>
    <row r="285" spans="1:7" x14ac:dyDescent="0.25">
      <c r="A285" t="s">
        <v>28</v>
      </c>
      <c r="B285" s="2">
        <v>50102060</v>
      </c>
      <c r="C285" s="4">
        <f>50400+3000</f>
        <v>53400</v>
      </c>
      <c r="D285" s="10">
        <f>50400+3000</f>
        <v>53400</v>
      </c>
      <c r="E285" s="4">
        <v>25527.5</v>
      </c>
      <c r="F285" s="4">
        <f t="shared" si="25"/>
        <v>0</v>
      </c>
      <c r="G285" s="4">
        <f t="shared" si="24"/>
        <v>27872.5</v>
      </c>
    </row>
    <row r="286" spans="1:7" x14ac:dyDescent="0.25">
      <c r="A286" t="s">
        <v>29</v>
      </c>
      <c r="B286" s="2">
        <v>50102110</v>
      </c>
      <c r="C286" s="4">
        <f>2907069+255944</f>
        <v>3163013</v>
      </c>
      <c r="D286" s="10">
        <f>2907069+255944</f>
        <v>3163013</v>
      </c>
      <c r="E286" s="4">
        <v>1686616.43</v>
      </c>
      <c r="F286" s="4">
        <f t="shared" si="25"/>
        <v>0</v>
      </c>
      <c r="G286" s="4">
        <f t="shared" si="24"/>
        <v>1476396.57</v>
      </c>
    </row>
    <row r="287" spans="1:7" x14ac:dyDescent="0.25">
      <c r="A287" t="s">
        <v>97</v>
      </c>
      <c r="B287" s="2">
        <v>50102130</v>
      </c>
      <c r="C287" s="4">
        <v>3000</v>
      </c>
      <c r="D287" s="4">
        <v>3000</v>
      </c>
      <c r="E287" s="4">
        <v>0</v>
      </c>
      <c r="F287" s="4">
        <f t="shared" si="25"/>
        <v>0</v>
      </c>
      <c r="G287" s="4">
        <f t="shared" si="24"/>
        <v>3000</v>
      </c>
    </row>
    <row r="288" spans="1:7" x14ac:dyDescent="0.25">
      <c r="A288" t="s">
        <v>30</v>
      </c>
      <c r="B288" s="2">
        <v>50102140</v>
      </c>
      <c r="C288" s="4">
        <f>969023+204755</f>
        <v>1173778</v>
      </c>
      <c r="D288" s="10">
        <f>969023+204755</f>
        <v>1173778</v>
      </c>
      <c r="E288" s="4">
        <v>0</v>
      </c>
      <c r="F288" s="4">
        <f t="shared" si="25"/>
        <v>0</v>
      </c>
      <c r="G288" s="4">
        <f t="shared" si="24"/>
        <v>1173778</v>
      </c>
    </row>
    <row r="289" spans="1:7" x14ac:dyDescent="0.25">
      <c r="A289" t="s">
        <v>31</v>
      </c>
      <c r="B289" s="2">
        <v>50102150</v>
      </c>
      <c r="C289" s="4">
        <f>140000+20000</f>
        <v>160000</v>
      </c>
      <c r="D289" s="10">
        <f>140000+20000</f>
        <v>160000</v>
      </c>
      <c r="E289" s="4">
        <v>0</v>
      </c>
      <c r="F289" s="4">
        <f t="shared" si="25"/>
        <v>0</v>
      </c>
      <c r="G289" s="4">
        <f t="shared" si="24"/>
        <v>160000</v>
      </c>
    </row>
    <row r="290" spans="1:7" x14ac:dyDescent="0.25">
      <c r="A290" t="s">
        <v>32</v>
      </c>
      <c r="B290" s="2">
        <v>50102990</v>
      </c>
      <c r="C290" s="4">
        <v>196000</v>
      </c>
      <c r="D290" s="4">
        <v>196000</v>
      </c>
      <c r="E290" s="4">
        <v>196000</v>
      </c>
      <c r="F290" s="4">
        <f t="shared" si="25"/>
        <v>0</v>
      </c>
      <c r="G290" s="4">
        <f t="shared" si="24"/>
        <v>0</v>
      </c>
    </row>
    <row r="291" spans="1:7" x14ac:dyDescent="0.25">
      <c r="A291" t="s">
        <v>33</v>
      </c>
      <c r="B291" s="2">
        <v>50102990</v>
      </c>
      <c r="C291" s="4">
        <v>969023</v>
      </c>
      <c r="D291" s="4">
        <v>969023</v>
      </c>
      <c r="E291" s="4">
        <v>969023</v>
      </c>
      <c r="F291" s="4">
        <f t="shared" si="25"/>
        <v>0</v>
      </c>
      <c r="G291" s="4">
        <f t="shared" si="24"/>
        <v>0</v>
      </c>
    </row>
    <row r="292" spans="1:7" x14ac:dyDescent="0.25">
      <c r="A292" t="s">
        <v>34</v>
      </c>
      <c r="B292" s="2">
        <v>50103010</v>
      </c>
      <c r="C292" s="4">
        <f>1395394+122853</f>
        <v>1518247</v>
      </c>
      <c r="D292" s="10">
        <f>1395394+122853</f>
        <v>1518247</v>
      </c>
      <c r="E292" s="4">
        <v>1056023.96</v>
      </c>
      <c r="F292" s="4">
        <f t="shared" si="25"/>
        <v>0</v>
      </c>
      <c r="G292" s="4">
        <f t="shared" si="24"/>
        <v>462223.04000000004</v>
      </c>
    </row>
    <row r="293" spans="1:7" x14ac:dyDescent="0.25">
      <c r="A293" t="s">
        <v>35</v>
      </c>
      <c r="B293" s="2">
        <v>50103020</v>
      </c>
      <c r="C293" s="4">
        <f>67200+4000</f>
        <v>71200</v>
      </c>
      <c r="D293" s="10">
        <f>67200+4000</f>
        <v>71200</v>
      </c>
      <c r="E293" s="4">
        <v>50400</v>
      </c>
      <c r="F293" s="4">
        <f t="shared" si="25"/>
        <v>0</v>
      </c>
      <c r="G293" s="4">
        <f t="shared" si="24"/>
        <v>20800</v>
      </c>
    </row>
    <row r="294" spans="1:7" x14ac:dyDescent="0.25">
      <c r="A294" t="s">
        <v>36</v>
      </c>
      <c r="B294" s="2">
        <v>50103030</v>
      </c>
      <c r="C294" s="4">
        <f>290710+25595</f>
        <v>316305</v>
      </c>
      <c r="D294" s="10">
        <f>290710+25595</f>
        <v>316305</v>
      </c>
      <c r="E294" s="4">
        <v>219865.22</v>
      </c>
      <c r="F294" s="4">
        <f t="shared" si="25"/>
        <v>0</v>
      </c>
      <c r="G294" s="4">
        <f t="shared" si="24"/>
        <v>96439.78</v>
      </c>
    </row>
    <row r="295" spans="1:7" x14ac:dyDescent="0.25">
      <c r="A295" t="s">
        <v>37</v>
      </c>
      <c r="B295" s="2">
        <v>50103040</v>
      </c>
      <c r="C295" s="4">
        <f>33600+2000</f>
        <v>35600</v>
      </c>
      <c r="D295" s="10">
        <f>33600+2000</f>
        <v>35600</v>
      </c>
      <c r="E295" s="4">
        <v>25200</v>
      </c>
      <c r="F295" s="4">
        <f t="shared" si="25"/>
        <v>0</v>
      </c>
      <c r="G295" s="4">
        <f t="shared" si="24"/>
        <v>10400</v>
      </c>
    </row>
    <row r="296" spans="1:7" x14ac:dyDescent="0.25">
      <c r="A296" t="s">
        <v>38</v>
      </c>
      <c r="B296" s="2">
        <v>50104990</v>
      </c>
      <c r="C296" s="4">
        <v>140000</v>
      </c>
      <c r="D296" s="4">
        <v>140000</v>
      </c>
      <c r="E296" s="4">
        <v>0</v>
      </c>
      <c r="F296" s="4">
        <f t="shared" si="25"/>
        <v>0</v>
      </c>
      <c r="G296" s="4">
        <f t="shared" si="24"/>
        <v>140000</v>
      </c>
    </row>
    <row r="297" spans="1:7" x14ac:dyDescent="0.25">
      <c r="A297" t="s">
        <v>39</v>
      </c>
      <c r="B297" s="2">
        <v>50104990</v>
      </c>
      <c r="C297" s="4">
        <v>285078</v>
      </c>
      <c r="D297" s="4">
        <v>285078</v>
      </c>
      <c r="E297" s="4">
        <v>0</v>
      </c>
      <c r="F297" s="4">
        <f t="shared" si="25"/>
        <v>0</v>
      </c>
      <c r="G297" s="4">
        <f t="shared" si="24"/>
        <v>285078</v>
      </c>
    </row>
    <row r="298" spans="1:7" x14ac:dyDescent="0.25">
      <c r="A298" t="s">
        <v>40</v>
      </c>
      <c r="B298" s="2">
        <v>50104990</v>
      </c>
      <c r="C298" s="4">
        <v>20000</v>
      </c>
      <c r="D298" s="4">
        <v>20000</v>
      </c>
      <c r="E298" s="4">
        <v>0</v>
      </c>
      <c r="F298" s="4">
        <f t="shared" si="25"/>
        <v>0</v>
      </c>
      <c r="G298" s="4">
        <f t="shared" si="24"/>
        <v>20000</v>
      </c>
    </row>
    <row r="299" spans="1:7" x14ac:dyDescent="0.25">
      <c r="A299" t="s">
        <v>20</v>
      </c>
      <c r="B299" s="2">
        <v>50104990</v>
      </c>
      <c r="C299" s="4">
        <v>6469971</v>
      </c>
      <c r="D299" s="4">
        <v>260225.06</v>
      </c>
      <c r="E299" s="4">
        <v>109100.94</v>
      </c>
      <c r="F299" s="4">
        <f t="shared" si="25"/>
        <v>6209745.9400000004</v>
      </c>
      <c r="G299" s="4">
        <f t="shared" si="24"/>
        <v>151124.12</v>
      </c>
    </row>
    <row r="300" spans="1:7" s="6" customFormat="1" x14ac:dyDescent="0.25">
      <c r="B300" s="8"/>
      <c r="C300" s="10"/>
      <c r="D300" s="10"/>
      <c r="E300" s="10"/>
      <c r="F300" s="10"/>
      <c r="G300" s="10"/>
    </row>
    <row r="301" spans="1:7" s="7" customFormat="1" x14ac:dyDescent="0.25">
      <c r="A301" s="7" t="s">
        <v>41</v>
      </c>
      <c r="B301" s="9">
        <v>200</v>
      </c>
      <c r="C301" s="11">
        <v>61574472</v>
      </c>
      <c r="D301" s="11">
        <v>61574472</v>
      </c>
      <c r="E301" s="11">
        <v>30158782.57</v>
      </c>
      <c r="F301" s="11">
        <f t="shared" si="23"/>
        <v>0</v>
      </c>
      <c r="G301" s="11">
        <f t="shared" si="24"/>
        <v>31415689.43</v>
      </c>
    </row>
    <row r="302" spans="1:7" s="7" customFormat="1" x14ac:dyDescent="0.25">
      <c r="A302" s="6" t="s">
        <v>42</v>
      </c>
      <c r="B302" s="8">
        <v>50201010</v>
      </c>
      <c r="C302" s="10">
        <f>50000+150000</f>
        <v>200000</v>
      </c>
      <c r="D302" s="10">
        <f>50000+150000</f>
        <v>200000</v>
      </c>
      <c r="E302" s="10">
        <v>36935.1</v>
      </c>
      <c r="F302" s="10">
        <f t="shared" ref="F302:F329" si="26">C302-D302</f>
        <v>0</v>
      </c>
      <c r="G302" s="10">
        <f t="shared" ref="G302:G329" si="27">D302-E302</f>
        <v>163064.9</v>
      </c>
    </row>
    <row r="303" spans="1:7" x14ac:dyDescent="0.25">
      <c r="A303" t="s">
        <v>43</v>
      </c>
      <c r="B303" s="2">
        <v>50202010</v>
      </c>
      <c r="C303" s="4">
        <v>80000</v>
      </c>
      <c r="D303" s="4">
        <v>80000</v>
      </c>
      <c r="E303" s="4">
        <v>17000</v>
      </c>
      <c r="F303" s="4">
        <f t="shared" si="26"/>
        <v>0</v>
      </c>
      <c r="G303" s="4">
        <f t="shared" si="27"/>
        <v>63000</v>
      </c>
    </row>
    <row r="304" spans="1:7" x14ac:dyDescent="0.25">
      <c r="A304" t="s">
        <v>44</v>
      </c>
      <c r="B304" s="2">
        <v>50203010</v>
      </c>
      <c r="C304" s="4">
        <f>400000+400000</f>
        <v>800000</v>
      </c>
      <c r="D304" s="10">
        <f>400000+400000</f>
        <v>800000</v>
      </c>
      <c r="E304" s="4">
        <v>224441</v>
      </c>
      <c r="F304" s="4">
        <f t="shared" si="26"/>
        <v>0</v>
      </c>
      <c r="G304" s="4">
        <f t="shared" si="27"/>
        <v>575559</v>
      </c>
    </row>
    <row r="305" spans="1:7" x14ac:dyDescent="0.25">
      <c r="A305" t="s">
        <v>75</v>
      </c>
      <c r="B305" s="2">
        <v>50203020</v>
      </c>
      <c r="C305" s="4">
        <v>92000</v>
      </c>
      <c r="D305" s="4">
        <v>92000</v>
      </c>
      <c r="E305" s="4">
        <v>46537.5</v>
      </c>
      <c r="F305" s="4">
        <f t="shared" si="26"/>
        <v>0</v>
      </c>
      <c r="G305" s="4">
        <f t="shared" si="27"/>
        <v>45462.5</v>
      </c>
    </row>
    <row r="306" spans="1:7" x14ac:dyDescent="0.25">
      <c r="A306" t="s">
        <v>76</v>
      </c>
      <c r="B306" s="2">
        <v>50203050</v>
      </c>
      <c r="C306" s="4">
        <f>2200000+80000</f>
        <v>2280000</v>
      </c>
      <c r="D306" s="10">
        <f>2200000+80000</f>
        <v>2280000</v>
      </c>
      <c r="E306" s="4">
        <v>1616900</v>
      </c>
      <c r="F306" s="4">
        <f t="shared" si="26"/>
        <v>0</v>
      </c>
      <c r="G306" s="4">
        <f t="shared" si="27"/>
        <v>663100</v>
      </c>
    </row>
    <row r="307" spans="1:7" x14ac:dyDescent="0.25">
      <c r="A307" t="s">
        <v>45</v>
      </c>
      <c r="B307" s="2">
        <v>50203070</v>
      </c>
      <c r="C307" s="4">
        <f>800000+700000+200000</f>
        <v>1700000</v>
      </c>
      <c r="D307" s="10">
        <f>800000+700000+200000</f>
        <v>1700000</v>
      </c>
      <c r="E307" s="4">
        <f>799999.55+700000</f>
        <v>1499999.55</v>
      </c>
      <c r="F307" s="4">
        <f t="shared" si="26"/>
        <v>0</v>
      </c>
      <c r="G307" s="4">
        <f t="shared" si="27"/>
        <v>200000.44999999995</v>
      </c>
    </row>
    <row r="308" spans="1:7" x14ac:dyDescent="0.25">
      <c r="A308" t="s">
        <v>46</v>
      </c>
      <c r="B308" s="2">
        <v>50203080</v>
      </c>
      <c r="C308" s="4">
        <f>4985500+4015000</f>
        <v>9000500</v>
      </c>
      <c r="D308" s="10">
        <f>4985500+4015000</f>
        <v>9000500</v>
      </c>
      <c r="E308" s="4">
        <f>3577164+30500</f>
        <v>3607664</v>
      </c>
      <c r="F308" s="4">
        <f t="shared" si="26"/>
        <v>0</v>
      </c>
      <c r="G308" s="4">
        <f t="shared" si="27"/>
        <v>5392836</v>
      </c>
    </row>
    <row r="309" spans="1:7" x14ac:dyDescent="0.25">
      <c r="A309" t="s">
        <v>47</v>
      </c>
      <c r="B309" s="2">
        <v>50203090</v>
      </c>
      <c r="C309" s="4">
        <v>1500000</v>
      </c>
      <c r="D309" s="4">
        <v>1500000</v>
      </c>
      <c r="E309" s="4">
        <v>1297192.8</v>
      </c>
      <c r="F309" s="4">
        <f t="shared" si="26"/>
        <v>0</v>
      </c>
      <c r="G309" s="4">
        <f t="shared" si="27"/>
        <v>202807.19999999995</v>
      </c>
    </row>
    <row r="310" spans="1:7" x14ac:dyDescent="0.25">
      <c r="A310" t="s">
        <v>48</v>
      </c>
      <c r="B310" s="2">
        <v>50203210</v>
      </c>
      <c r="C310" s="4">
        <f>129500+500000</f>
        <v>629500</v>
      </c>
      <c r="D310" s="10">
        <f>129500+500000</f>
        <v>629500</v>
      </c>
      <c r="E310" s="4">
        <v>128379</v>
      </c>
      <c r="F310" s="4">
        <f t="shared" si="26"/>
        <v>0</v>
      </c>
      <c r="G310" s="4">
        <f t="shared" si="27"/>
        <v>501121</v>
      </c>
    </row>
    <row r="311" spans="1:7" x14ac:dyDescent="0.25">
      <c r="A311" t="s">
        <v>49</v>
      </c>
      <c r="B311" s="2">
        <v>50203220</v>
      </c>
      <c r="C311" s="4">
        <v>85000</v>
      </c>
      <c r="D311" s="4">
        <v>85000</v>
      </c>
      <c r="E311" s="4">
        <v>75800</v>
      </c>
      <c r="F311" s="4">
        <f t="shared" si="26"/>
        <v>0</v>
      </c>
      <c r="G311" s="4">
        <f t="shared" si="27"/>
        <v>9200</v>
      </c>
    </row>
    <row r="312" spans="1:7" x14ac:dyDescent="0.25">
      <c r="A312" t="s">
        <v>50</v>
      </c>
      <c r="B312" s="2">
        <v>50203990</v>
      </c>
      <c r="C312" s="4">
        <f>400000+400000</f>
        <v>800000</v>
      </c>
      <c r="D312" s="10">
        <f>400000+400000</f>
        <v>800000</v>
      </c>
      <c r="E312" s="4">
        <v>292443.75</v>
      </c>
      <c r="F312" s="4">
        <f t="shared" si="26"/>
        <v>0</v>
      </c>
      <c r="G312" s="4">
        <f t="shared" si="27"/>
        <v>507556.25</v>
      </c>
    </row>
    <row r="313" spans="1:7" x14ac:dyDescent="0.25">
      <c r="A313" t="s">
        <v>77</v>
      </c>
      <c r="B313" s="2">
        <v>50203990</v>
      </c>
      <c r="C313" s="4">
        <v>172800</v>
      </c>
      <c r="D313" s="4">
        <v>172800</v>
      </c>
      <c r="E313" s="4">
        <v>72660</v>
      </c>
      <c r="F313" s="4">
        <f t="shared" si="26"/>
        <v>0</v>
      </c>
      <c r="G313" s="4">
        <f t="shared" si="27"/>
        <v>100140</v>
      </c>
    </row>
    <row r="314" spans="1:7" x14ac:dyDescent="0.25">
      <c r="A314" t="s">
        <v>51</v>
      </c>
      <c r="B314" s="2">
        <v>50204010</v>
      </c>
      <c r="C314" s="4">
        <v>480000</v>
      </c>
      <c r="D314" s="4">
        <v>480000</v>
      </c>
      <c r="E314" s="4">
        <v>306704</v>
      </c>
      <c r="F314" s="4">
        <f t="shared" si="26"/>
        <v>0</v>
      </c>
      <c r="G314" s="4">
        <f t="shared" si="27"/>
        <v>173296</v>
      </c>
    </row>
    <row r="315" spans="1:7" x14ac:dyDescent="0.25">
      <c r="A315" t="s">
        <v>78</v>
      </c>
      <c r="B315" s="2">
        <v>50204020</v>
      </c>
      <c r="C315" s="4">
        <f>1000000+320000</f>
        <v>1320000</v>
      </c>
      <c r="D315" s="10">
        <f>1000000+320000</f>
        <v>1320000</v>
      </c>
      <c r="E315" s="4">
        <v>978382.93</v>
      </c>
      <c r="F315" s="4">
        <f t="shared" si="26"/>
        <v>0</v>
      </c>
      <c r="G315" s="4">
        <f t="shared" si="27"/>
        <v>341617.06999999995</v>
      </c>
    </row>
    <row r="316" spans="1:7" x14ac:dyDescent="0.25">
      <c r="A316" t="s">
        <v>53</v>
      </c>
      <c r="B316" s="2">
        <v>50205020</v>
      </c>
      <c r="C316" s="4">
        <v>42000</v>
      </c>
      <c r="D316" s="4">
        <v>42000</v>
      </c>
      <c r="E316" s="4">
        <v>28000</v>
      </c>
      <c r="F316" s="4">
        <f t="shared" si="26"/>
        <v>0</v>
      </c>
      <c r="G316" s="4">
        <f t="shared" si="27"/>
        <v>14000</v>
      </c>
    </row>
    <row r="317" spans="1:7" x14ac:dyDescent="0.25">
      <c r="A317" t="s">
        <v>79</v>
      </c>
      <c r="B317" s="2">
        <v>50205030</v>
      </c>
      <c r="C317" s="4">
        <v>42000</v>
      </c>
      <c r="D317" s="4">
        <v>42000</v>
      </c>
      <c r="E317" s="4">
        <v>35000</v>
      </c>
      <c r="F317" s="4">
        <f t="shared" si="26"/>
        <v>0</v>
      </c>
      <c r="G317" s="4">
        <f t="shared" si="27"/>
        <v>7000</v>
      </c>
    </row>
    <row r="318" spans="1:7" x14ac:dyDescent="0.25">
      <c r="A318" t="s">
        <v>88</v>
      </c>
      <c r="B318" s="2">
        <v>50212010</v>
      </c>
      <c r="C318" s="4">
        <v>300000</v>
      </c>
      <c r="D318" s="4">
        <v>300000</v>
      </c>
      <c r="E318" s="4">
        <v>0</v>
      </c>
      <c r="F318" s="4">
        <f t="shared" si="26"/>
        <v>0</v>
      </c>
      <c r="G318" s="4">
        <f t="shared" si="27"/>
        <v>300000</v>
      </c>
    </row>
    <row r="319" spans="1:7" x14ac:dyDescent="0.25">
      <c r="A319" t="s">
        <v>54</v>
      </c>
      <c r="B319" s="2">
        <v>50212990</v>
      </c>
      <c r="C319" s="4">
        <f>14325672+17765000+8000000</f>
        <v>40090672</v>
      </c>
      <c r="D319" s="10">
        <f>14325672+17765000+8000000</f>
        <v>40090672</v>
      </c>
      <c r="E319" s="4">
        <f>14185955.14+5101777.8</f>
        <v>19287732.940000001</v>
      </c>
      <c r="F319" s="4">
        <f t="shared" si="26"/>
        <v>0</v>
      </c>
      <c r="G319" s="4">
        <f t="shared" si="27"/>
        <v>20802939.059999999</v>
      </c>
    </row>
    <row r="320" spans="1:7" x14ac:dyDescent="0.25">
      <c r="A320" t="s">
        <v>81</v>
      </c>
      <c r="B320" s="2">
        <v>50213040</v>
      </c>
      <c r="C320" s="4">
        <f>100000+400000</f>
        <v>500000</v>
      </c>
      <c r="D320" s="10">
        <f>100000+400000</f>
        <v>500000</v>
      </c>
      <c r="E320" s="4">
        <f>60500+25000</f>
        <v>85500</v>
      </c>
      <c r="F320" s="4">
        <f t="shared" si="26"/>
        <v>0</v>
      </c>
      <c r="G320" s="4">
        <f t="shared" si="27"/>
        <v>414500</v>
      </c>
    </row>
    <row r="321" spans="1:7" x14ac:dyDescent="0.25">
      <c r="A321" t="s">
        <v>83</v>
      </c>
      <c r="B321" s="2">
        <v>50213050</v>
      </c>
      <c r="C321" s="4">
        <v>100000</v>
      </c>
      <c r="D321" s="4">
        <v>100000</v>
      </c>
      <c r="E321" s="4">
        <v>55000</v>
      </c>
      <c r="F321" s="4">
        <f t="shared" si="26"/>
        <v>0</v>
      </c>
      <c r="G321" s="4">
        <f t="shared" si="27"/>
        <v>45000</v>
      </c>
    </row>
    <row r="322" spans="1:7" x14ac:dyDescent="0.25">
      <c r="A322" t="s">
        <v>84</v>
      </c>
      <c r="B322" s="2">
        <v>50213050</v>
      </c>
      <c r="C322" s="4">
        <v>5000</v>
      </c>
      <c r="D322" s="4">
        <v>5000</v>
      </c>
      <c r="E322" s="4">
        <v>0</v>
      </c>
      <c r="F322" s="4">
        <f t="shared" si="26"/>
        <v>0</v>
      </c>
      <c r="G322" s="4">
        <f t="shared" si="27"/>
        <v>5000</v>
      </c>
    </row>
    <row r="323" spans="1:7" x14ac:dyDescent="0.25">
      <c r="A323" t="s">
        <v>85</v>
      </c>
      <c r="B323" s="2">
        <v>50213050</v>
      </c>
      <c r="C323" s="4">
        <v>5000</v>
      </c>
      <c r="D323" s="4">
        <v>5000</v>
      </c>
      <c r="E323" s="4">
        <v>0</v>
      </c>
      <c r="F323" s="4">
        <f t="shared" si="26"/>
        <v>0</v>
      </c>
      <c r="G323" s="4">
        <f t="shared" si="27"/>
        <v>5000</v>
      </c>
    </row>
    <row r="324" spans="1:7" x14ac:dyDescent="0.25">
      <c r="A324" t="s">
        <v>55</v>
      </c>
      <c r="B324" s="2">
        <v>50213050</v>
      </c>
      <c r="C324" s="4">
        <v>300000</v>
      </c>
      <c r="D324" s="4">
        <v>300000</v>
      </c>
      <c r="E324" s="4">
        <v>0</v>
      </c>
      <c r="F324" s="4">
        <f t="shared" si="26"/>
        <v>0</v>
      </c>
      <c r="G324" s="4">
        <f t="shared" si="27"/>
        <v>300000</v>
      </c>
    </row>
    <row r="325" spans="1:7" x14ac:dyDescent="0.25">
      <c r="A325" t="s">
        <v>56</v>
      </c>
      <c r="B325" s="2">
        <v>50213060</v>
      </c>
      <c r="C325" s="4">
        <v>600000</v>
      </c>
      <c r="D325" s="4">
        <v>600000</v>
      </c>
      <c r="E325" s="4">
        <v>395260</v>
      </c>
      <c r="F325" s="4">
        <f t="shared" si="26"/>
        <v>0</v>
      </c>
      <c r="G325" s="4">
        <f t="shared" si="27"/>
        <v>204740</v>
      </c>
    </row>
    <row r="326" spans="1:7" x14ac:dyDescent="0.25">
      <c r="A326" t="s">
        <v>57</v>
      </c>
      <c r="B326" s="2">
        <v>50216010</v>
      </c>
      <c r="C326" s="4">
        <f>150000+100000</f>
        <v>250000</v>
      </c>
      <c r="D326" s="10">
        <f>150000+100000</f>
        <v>250000</v>
      </c>
      <c r="E326" s="4">
        <v>28750</v>
      </c>
      <c r="F326" s="4">
        <f t="shared" si="26"/>
        <v>0</v>
      </c>
      <c r="G326" s="4">
        <f t="shared" si="27"/>
        <v>221250</v>
      </c>
    </row>
    <row r="327" spans="1:7" x14ac:dyDescent="0.25">
      <c r="A327" t="s">
        <v>58</v>
      </c>
      <c r="B327" s="2">
        <v>50216020</v>
      </c>
      <c r="C327" s="4">
        <f>20000+30000</f>
        <v>50000</v>
      </c>
      <c r="D327" s="10">
        <f>20000+30000</f>
        <v>50000</v>
      </c>
      <c r="E327" s="4">
        <f>20000+22500</f>
        <v>42500</v>
      </c>
      <c r="F327" s="4">
        <f t="shared" si="26"/>
        <v>0</v>
      </c>
      <c r="G327" s="4">
        <f t="shared" si="27"/>
        <v>7500</v>
      </c>
    </row>
    <row r="328" spans="1:7" x14ac:dyDescent="0.25">
      <c r="A328" t="s">
        <v>59</v>
      </c>
      <c r="B328" s="2">
        <v>50299020</v>
      </c>
      <c r="C328" s="4">
        <v>100000</v>
      </c>
      <c r="D328" s="4">
        <v>100000</v>
      </c>
      <c r="E328" s="4">
        <v>0</v>
      </c>
      <c r="F328" s="4">
        <f t="shared" si="26"/>
        <v>0</v>
      </c>
      <c r="G328" s="4">
        <f t="shared" si="27"/>
        <v>100000</v>
      </c>
    </row>
    <row r="329" spans="1:7" x14ac:dyDescent="0.25">
      <c r="A329" t="s">
        <v>87</v>
      </c>
      <c r="B329" s="2">
        <v>50299060</v>
      </c>
      <c r="C329" s="4">
        <v>50000</v>
      </c>
      <c r="D329" s="4">
        <v>50000</v>
      </c>
      <c r="E329" s="4">
        <v>0</v>
      </c>
      <c r="F329" s="4">
        <f t="shared" si="26"/>
        <v>0</v>
      </c>
      <c r="G329" s="4">
        <f t="shared" si="27"/>
        <v>50000</v>
      </c>
    </row>
    <row r="330" spans="1:7" s="6" customFormat="1" x14ac:dyDescent="0.25">
      <c r="B330" s="8"/>
      <c r="C330" s="10"/>
      <c r="D330" s="10"/>
      <c r="E330" s="10"/>
      <c r="F330" s="10"/>
      <c r="G330" s="10"/>
    </row>
    <row r="331" spans="1:7" s="7" customFormat="1" x14ac:dyDescent="0.25">
      <c r="A331" s="7" t="s">
        <v>62</v>
      </c>
      <c r="B331" s="9">
        <v>300</v>
      </c>
      <c r="C331" s="11">
        <v>2500000</v>
      </c>
      <c r="D331" s="11">
        <v>2500000</v>
      </c>
      <c r="E331" s="11">
        <v>0</v>
      </c>
      <c r="F331" s="11">
        <f t="shared" ref="F331:F332" si="28">C331-D331</f>
        <v>0</v>
      </c>
      <c r="G331" s="11">
        <f t="shared" ref="G331:G332" si="29">D331-E331</f>
        <v>2500000</v>
      </c>
    </row>
    <row r="332" spans="1:7" x14ac:dyDescent="0.25">
      <c r="A332" t="s">
        <v>108</v>
      </c>
      <c r="B332" s="2">
        <v>10705110</v>
      </c>
      <c r="C332" s="4">
        <v>2500000</v>
      </c>
      <c r="D332" s="4">
        <v>2500000</v>
      </c>
      <c r="E332" s="4">
        <v>0</v>
      </c>
      <c r="F332" s="4">
        <f t="shared" si="28"/>
        <v>0</v>
      </c>
      <c r="G332" s="4">
        <f t="shared" si="29"/>
        <v>2500000</v>
      </c>
    </row>
    <row r="338" spans="1:5" s="6" customFormat="1" x14ac:dyDescent="0.25">
      <c r="A338" s="6" t="s">
        <v>114</v>
      </c>
      <c r="B338" s="6" t="s">
        <v>115</v>
      </c>
      <c r="E338" s="10" t="s">
        <v>116</v>
      </c>
    </row>
    <row r="339" spans="1:5" s="6" customFormat="1" x14ac:dyDescent="0.25"/>
    <row r="340" spans="1:5" s="6" customFormat="1" x14ac:dyDescent="0.25"/>
    <row r="341" spans="1:5" s="6" customFormat="1" x14ac:dyDescent="0.25"/>
    <row r="342" spans="1:5" s="6" customFormat="1" x14ac:dyDescent="0.25">
      <c r="A342" s="7" t="s">
        <v>117</v>
      </c>
      <c r="B342" s="7" t="s">
        <v>118</v>
      </c>
      <c r="E342" s="11" t="s">
        <v>119</v>
      </c>
    </row>
    <row r="343" spans="1:5" s="6" customFormat="1" x14ac:dyDescent="0.25">
      <c r="A343" s="6" t="s">
        <v>120</v>
      </c>
      <c r="B343" s="6" t="s">
        <v>121</v>
      </c>
      <c r="E343" s="10" t="s">
        <v>122</v>
      </c>
    </row>
  </sheetData>
  <sortState ref="A302:G344">
    <sortCondition ref="B302:B344"/>
  </sortState>
  <mergeCells count="5">
    <mergeCell ref="A1:G1"/>
    <mergeCell ref="A2:G2"/>
    <mergeCell ref="A3:G3"/>
    <mergeCell ref="A5:G5"/>
    <mergeCell ref="A6:G6"/>
  </mergeCells>
  <pageMargins left="0.95" right="0" top="0.75" bottom="0.5" header="0.3" footer="0.3"/>
  <pageSetup paperSize="9" scale="85" orientation="landscape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2025-10-07T06:22:08Z</cp:lastPrinted>
  <dcterms:created xsi:type="dcterms:W3CDTF">2025-10-07T05:22:19Z</dcterms:created>
  <dcterms:modified xsi:type="dcterms:W3CDTF">2025-10-07T06:24:45Z</dcterms:modified>
</cp:coreProperties>
</file>