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4" r:id="rId1"/>
  </sheets>
  <definedNames>
    <definedName name="_xlnm.Print_Area" localSheetId="0">Final!$A$1:$G$360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4" i="4" l="1"/>
  <c r="F334" i="4"/>
  <c r="G333" i="4"/>
  <c r="F333" i="4"/>
  <c r="G332" i="4"/>
  <c r="F332" i="4"/>
  <c r="G331" i="4"/>
  <c r="F331" i="4"/>
  <c r="G329" i="4"/>
  <c r="F329" i="4"/>
  <c r="E328" i="4"/>
  <c r="D328" i="4"/>
  <c r="G328" i="4" s="1"/>
  <c r="C328" i="4"/>
  <c r="F328" i="4" s="1"/>
  <c r="F327" i="4"/>
  <c r="E327" i="4"/>
  <c r="D327" i="4"/>
  <c r="G327" i="4" s="1"/>
  <c r="C327" i="4"/>
  <c r="G326" i="4"/>
  <c r="F326" i="4"/>
  <c r="G325" i="4"/>
  <c r="F325" i="4"/>
  <c r="G324" i="4"/>
  <c r="F324" i="4"/>
  <c r="G323" i="4"/>
  <c r="F323" i="4"/>
  <c r="G322" i="4"/>
  <c r="E322" i="4"/>
  <c r="D322" i="4"/>
  <c r="C322" i="4"/>
  <c r="F322" i="4" s="1"/>
  <c r="G321" i="4"/>
  <c r="F321" i="4"/>
  <c r="F320" i="4"/>
  <c r="E320" i="4"/>
  <c r="D320" i="4"/>
  <c r="G320" i="4" s="1"/>
  <c r="C320" i="4"/>
  <c r="G319" i="4"/>
  <c r="F319" i="4"/>
  <c r="G318" i="4"/>
  <c r="F318" i="4"/>
  <c r="G317" i="4"/>
  <c r="F317" i="4"/>
  <c r="E316" i="4"/>
  <c r="D316" i="4"/>
  <c r="G316" i="4" s="1"/>
  <c r="C316" i="4"/>
  <c r="F316" i="4" s="1"/>
  <c r="G315" i="4"/>
  <c r="F315" i="4"/>
  <c r="G314" i="4"/>
  <c r="F314" i="4"/>
  <c r="F313" i="4"/>
  <c r="E313" i="4"/>
  <c r="D313" i="4"/>
  <c r="G313" i="4" s="1"/>
  <c r="C313" i="4"/>
  <c r="G312" i="4"/>
  <c r="F312" i="4"/>
  <c r="E311" i="4"/>
  <c r="D311" i="4"/>
  <c r="G311" i="4" s="1"/>
  <c r="C311" i="4"/>
  <c r="F311" i="4" s="1"/>
  <c r="G310" i="4"/>
  <c r="F310" i="4"/>
  <c r="E309" i="4"/>
  <c r="D309" i="4"/>
  <c r="G309" i="4" s="1"/>
  <c r="C309" i="4"/>
  <c r="F309" i="4" s="1"/>
  <c r="E308" i="4"/>
  <c r="D308" i="4"/>
  <c r="G308" i="4" s="1"/>
  <c r="C308" i="4"/>
  <c r="F308" i="4" s="1"/>
  <c r="F307" i="4"/>
  <c r="D307" i="4"/>
  <c r="G307" i="4" s="1"/>
  <c r="C307" i="4"/>
  <c r="G306" i="4"/>
  <c r="F306" i="4"/>
  <c r="E305" i="4"/>
  <c r="D305" i="4"/>
  <c r="G305" i="4" s="1"/>
  <c r="C305" i="4"/>
  <c r="F305" i="4" s="1"/>
  <c r="G304" i="4"/>
  <c r="F304" i="4"/>
  <c r="G303" i="4"/>
  <c r="E303" i="4"/>
  <c r="D303" i="4"/>
  <c r="C303" i="4"/>
  <c r="F303" i="4" s="1"/>
  <c r="G302" i="4"/>
  <c r="F302" i="4"/>
  <c r="G300" i="4"/>
  <c r="F300" i="4"/>
  <c r="G299" i="4"/>
  <c r="F299" i="4"/>
  <c r="F298" i="4"/>
  <c r="D298" i="4"/>
  <c r="G298" i="4" s="1"/>
  <c r="C298" i="4"/>
  <c r="F297" i="4"/>
  <c r="D297" i="4"/>
  <c r="G297" i="4" s="1"/>
  <c r="C297" i="4"/>
  <c r="F296" i="4"/>
  <c r="D296" i="4"/>
  <c r="G296" i="4" s="1"/>
  <c r="C296" i="4"/>
  <c r="F295" i="4"/>
  <c r="D295" i="4"/>
  <c r="G295" i="4" s="1"/>
  <c r="C295" i="4"/>
  <c r="F294" i="4"/>
  <c r="D294" i="4"/>
  <c r="G294" i="4" s="1"/>
  <c r="C294" i="4"/>
  <c r="G293" i="4"/>
  <c r="F293" i="4"/>
  <c r="G292" i="4"/>
  <c r="F292" i="4"/>
  <c r="F291" i="4"/>
  <c r="D291" i="4"/>
  <c r="G291" i="4" s="1"/>
  <c r="C291" i="4"/>
  <c r="F290" i="4"/>
  <c r="D290" i="4"/>
  <c r="G290" i="4" s="1"/>
  <c r="C290" i="4"/>
  <c r="G289" i="4"/>
  <c r="F289" i="4"/>
  <c r="G288" i="4"/>
  <c r="D288" i="4"/>
  <c r="C288" i="4"/>
  <c r="F288" i="4" s="1"/>
  <c r="G287" i="4"/>
  <c r="D287" i="4"/>
  <c r="C287" i="4"/>
  <c r="F287" i="4" s="1"/>
  <c r="G286" i="4"/>
  <c r="D286" i="4"/>
  <c r="C286" i="4"/>
  <c r="F286" i="4" s="1"/>
  <c r="G285" i="4"/>
  <c r="F285" i="4"/>
  <c r="G284" i="4"/>
  <c r="F284" i="4"/>
  <c r="G283" i="4"/>
  <c r="F283" i="4"/>
  <c r="F282" i="4"/>
  <c r="D282" i="4"/>
  <c r="G282" i="4" s="1"/>
  <c r="C282" i="4"/>
  <c r="G281" i="4"/>
  <c r="F281" i="4"/>
  <c r="G280" i="4"/>
  <c r="D280" i="4"/>
  <c r="C280" i="4"/>
  <c r="F280" i="4" s="1"/>
  <c r="G279" i="4"/>
  <c r="F279" i="4"/>
  <c r="G278" i="4"/>
  <c r="F278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8" i="4"/>
  <c r="F268" i="4"/>
  <c r="G267" i="4"/>
  <c r="F267" i="4"/>
  <c r="G266" i="4"/>
  <c r="F266" i="4"/>
  <c r="G265" i="4"/>
  <c r="F265" i="4"/>
  <c r="G264" i="4"/>
  <c r="F264" i="4"/>
  <c r="G263" i="4"/>
  <c r="D263" i="4"/>
  <c r="C263" i="4"/>
  <c r="F263" i="4" s="1"/>
  <c r="G262" i="4"/>
  <c r="D262" i="4"/>
  <c r="C262" i="4"/>
  <c r="F262" i="4" s="1"/>
  <c r="G261" i="4"/>
  <c r="F261" i="4"/>
  <c r="G260" i="4"/>
  <c r="F260" i="4"/>
  <c r="E259" i="4"/>
  <c r="D259" i="4"/>
  <c r="G259" i="4" s="1"/>
  <c r="C259" i="4"/>
  <c r="F259" i="4" s="1"/>
  <c r="G258" i="4"/>
  <c r="F258" i="4"/>
  <c r="G257" i="4"/>
  <c r="F257" i="4"/>
  <c r="G256" i="4"/>
  <c r="F256" i="4"/>
  <c r="G255" i="4"/>
  <c r="E255" i="4"/>
  <c r="D255" i="4"/>
  <c r="C255" i="4"/>
  <c r="F255" i="4" s="1"/>
  <c r="G254" i="4"/>
  <c r="F254" i="4"/>
  <c r="G253" i="4"/>
  <c r="F253" i="4"/>
  <c r="G252" i="4"/>
  <c r="F252" i="4"/>
  <c r="G251" i="4"/>
  <c r="F251" i="4"/>
  <c r="G250" i="4"/>
  <c r="F250" i="4"/>
  <c r="F249" i="4"/>
  <c r="E249" i="4"/>
  <c r="D249" i="4"/>
  <c r="G249" i="4" s="1"/>
  <c r="C249" i="4"/>
  <c r="G248" i="4"/>
  <c r="E248" i="4"/>
  <c r="D248" i="4"/>
  <c r="C248" i="4"/>
  <c r="F248" i="4" s="1"/>
  <c r="E247" i="4"/>
  <c r="D247" i="4"/>
  <c r="G247" i="4" s="1"/>
  <c r="C247" i="4"/>
  <c r="F247" i="4" s="1"/>
  <c r="G246" i="4"/>
  <c r="F246" i="4"/>
  <c r="G245" i="4"/>
  <c r="F245" i="4"/>
  <c r="G244" i="4"/>
  <c r="F244" i="4"/>
  <c r="G243" i="4"/>
  <c r="F243" i="4"/>
  <c r="G242" i="4"/>
  <c r="F242" i="4"/>
  <c r="G240" i="4"/>
  <c r="F240" i="4"/>
  <c r="G239" i="4"/>
  <c r="F239" i="4"/>
  <c r="G238" i="4"/>
  <c r="F238" i="4"/>
  <c r="D238" i="4"/>
  <c r="C238" i="4"/>
  <c r="G237" i="4"/>
  <c r="F237" i="4"/>
  <c r="D237" i="4"/>
  <c r="C237" i="4"/>
  <c r="G236" i="4"/>
  <c r="F236" i="4"/>
  <c r="D236" i="4"/>
  <c r="C236" i="4"/>
  <c r="G235" i="4"/>
  <c r="F235" i="4"/>
  <c r="D235" i="4"/>
  <c r="C235" i="4"/>
  <c r="G234" i="4"/>
  <c r="F234" i="4"/>
  <c r="D234" i="4"/>
  <c r="C234" i="4"/>
  <c r="G233" i="4"/>
  <c r="F233" i="4"/>
  <c r="G232" i="4"/>
  <c r="F232" i="4"/>
  <c r="G231" i="4"/>
  <c r="F231" i="4"/>
  <c r="D231" i="4"/>
  <c r="C231" i="4"/>
  <c r="G230" i="4"/>
  <c r="F230" i="4"/>
  <c r="D230" i="4"/>
  <c r="C230" i="4"/>
  <c r="G229" i="4"/>
  <c r="F229" i="4"/>
  <c r="G228" i="4"/>
  <c r="F228" i="4"/>
  <c r="G227" i="4"/>
  <c r="F227" i="4"/>
  <c r="G226" i="4"/>
  <c r="F226" i="4"/>
  <c r="G225" i="4"/>
  <c r="F225" i="4"/>
  <c r="D225" i="4"/>
  <c r="C225" i="4"/>
  <c r="G224" i="4"/>
  <c r="F224" i="4"/>
  <c r="D224" i="4"/>
  <c r="C224" i="4"/>
  <c r="G223" i="4"/>
  <c r="F223" i="4"/>
  <c r="D223" i="4"/>
  <c r="C223" i="4"/>
  <c r="G222" i="4"/>
  <c r="F222" i="4"/>
  <c r="G221" i="4"/>
  <c r="F221" i="4"/>
  <c r="G220" i="4"/>
  <c r="F220" i="4"/>
  <c r="D219" i="4"/>
  <c r="G219" i="4" s="1"/>
  <c r="C219" i="4"/>
  <c r="F219" i="4" s="1"/>
  <c r="D218" i="4"/>
  <c r="G218" i="4" s="1"/>
  <c r="C218" i="4"/>
  <c r="F218" i="4" s="1"/>
  <c r="D217" i="4"/>
  <c r="G217" i="4" s="1"/>
  <c r="C217" i="4"/>
  <c r="F217" i="4" s="1"/>
  <c r="G216" i="4"/>
  <c r="F216" i="4"/>
  <c r="G215" i="4"/>
  <c r="F215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D197" i="4"/>
  <c r="C197" i="4"/>
  <c r="G196" i="4"/>
  <c r="F196" i="4"/>
  <c r="G195" i="4"/>
  <c r="F195" i="4"/>
  <c r="G194" i="4"/>
  <c r="E194" i="4"/>
  <c r="D194" i="4"/>
  <c r="C194" i="4"/>
  <c r="F194" i="4" s="1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F178" i="4"/>
  <c r="E178" i="4"/>
  <c r="D178" i="4"/>
  <c r="G178" i="4" s="1"/>
  <c r="C178" i="4"/>
  <c r="G177" i="4"/>
  <c r="E177" i="4"/>
  <c r="D177" i="4"/>
  <c r="C177" i="4"/>
  <c r="F177" i="4" s="1"/>
  <c r="G176" i="4"/>
  <c r="F176" i="4"/>
  <c r="G174" i="4"/>
  <c r="F174" i="4"/>
  <c r="G173" i="4"/>
  <c r="F173" i="4"/>
  <c r="F172" i="4"/>
  <c r="D172" i="4"/>
  <c r="G172" i="4" s="1"/>
  <c r="C172" i="4"/>
  <c r="G171" i="4"/>
  <c r="F171" i="4"/>
  <c r="G170" i="4"/>
  <c r="D170" i="4"/>
  <c r="C170" i="4"/>
  <c r="F170" i="4" s="1"/>
  <c r="G169" i="4"/>
  <c r="D169" i="4"/>
  <c r="C169" i="4"/>
  <c r="F169" i="4" s="1"/>
  <c r="G168" i="4"/>
  <c r="D168" i="4"/>
  <c r="C168" i="4"/>
  <c r="F168" i="4" s="1"/>
  <c r="G167" i="4"/>
  <c r="D167" i="4"/>
  <c r="C167" i="4"/>
  <c r="F167" i="4" s="1"/>
  <c r="G166" i="4"/>
  <c r="F166" i="4"/>
  <c r="G165" i="4"/>
  <c r="F165" i="4"/>
  <c r="G164" i="4"/>
  <c r="D164" i="4"/>
  <c r="C164" i="4"/>
  <c r="F164" i="4" s="1"/>
  <c r="G163" i="4"/>
  <c r="D163" i="4"/>
  <c r="C163" i="4"/>
  <c r="F163" i="4" s="1"/>
  <c r="G162" i="4"/>
  <c r="F162" i="4"/>
  <c r="G161" i="4"/>
  <c r="F161" i="4"/>
  <c r="G160" i="4"/>
  <c r="F160" i="4"/>
  <c r="G159" i="4"/>
  <c r="F159" i="4"/>
  <c r="G158" i="4"/>
  <c r="D158" i="4"/>
  <c r="C158" i="4"/>
  <c r="F158" i="4" s="1"/>
  <c r="G157" i="4"/>
  <c r="D157" i="4"/>
  <c r="C157" i="4"/>
  <c r="F157" i="4" s="1"/>
  <c r="G156" i="4"/>
  <c r="D156" i="4"/>
  <c r="C156" i="4"/>
  <c r="F156" i="4" s="1"/>
  <c r="G155" i="4"/>
  <c r="F155" i="4"/>
  <c r="G154" i="4"/>
  <c r="F154" i="4"/>
  <c r="G153" i="4"/>
  <c r="F153" i="4"/>
  <c r="F152" i="4"/>
  <c r="D152" i="4"/>
  <c r="G152" i="4" s="1"/>
  <c r="C152" i="4"/>
  <c r="F151" i="4"/>
  <c r="E151" i="4"/>
  <c r="D151" i="4"/>
  <c r="G151" i="4" s="1"/>
  <c r="C151" i="4"/>
  <c r="G150" i="4"/>
  <c r="F150" i="4"/>
  <c r="D150" i="4"/>
  <c r="C150" i="4"/>
  <c r="G149" i="4"/>
  <c r="F149" i="4"/>
  <c r="G148" i="4"/>
  <c r="F148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39" i="4"/>
  <c r="F139" i="4"/>
  <c r="G138" i="4"/>
  <c r="F138" i="4"/>
  <c r="G137" i="4"/>
  <c r="F137" i="4"/>
  <c r="G136" i="4"/>
  <c r="F136" i="4"/>
  <c r="G135" i="4"/>
  <c r="F135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D122" i="4"/>
  <c r="C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E115" i="4"/>
  <c r="D115" i="4"/>
  <c r="C115" i="4"/>
  <c r="F115" i="4" s="1"/>
  <c r="G114" i="4"/>
  <c r="F114" i="4"/>
  <c r="G113" i="4"/>
  <c r="F113" i="4"/>
  <c r="G112" i="4"/>
  <c r="F112" i="4"/>
  <c r="F111" i="4"/>
  <c r="E111" i="4"/>
  <c r="D111" i="4"/>
  <c r="G111" i="4" s="1"/>
  <c r="C111" i="4"/>
  <c r="G110" i="4"/>
  <c r="F110" i="4"/>
  <c r="D110" i="4"/>
  <c r="C110" i="4"/>
  <c r="G109" i="4"/>
  <c r="E109" i="4"/>
  <c r="E102" i="4" s="1"/>
  <c r="D109" i="4"/>
  <c r="C109" i="4"/>
  <c r="F109" i="4" s="1"/>
  <c r="G108" i="4"/>
  <c r="F108" i="4"/>
  <c r="G107" i="4"/>
  <c r="F107" i="4"/>
  <c r="G106" i="4"/>
  <c r="F106" i="4"/>
  <c r="G105" i="4"/>
  <c r="F105" i="4"/>
  <c r="G104" i="4"/>
  <c r="F104" i="4"/>
  <c r="G103" i="4"/>
  <c r="F103" i="4"/>
  <c r="D102" i="4"/>
  <c r="G102" i="4" s="1"/>
  <c r="G101" i="4"/>
  <c r="F101" i="4"/>
  <c r="G99" i="4"/>
  <c r="F99" i="4"/>
  <c r="G98" i="4"/>
  <c r="F98" i="4"/>
  <c r="G97" i="4"/>
  <c r="F97" i="4"/>
  <c r="D97" i="4"/>
  <c r="C97" i="4"/>
  <c r="G96" i="4"/>
  <c r="F96" i="4"/>
  <c r="D96" i="4"/>
  <c r="C96" i="4"/>
  <c r="G95" i="4"/>
  <c r="F95" i="4"/>
  <c r="D95" i="4"/>
  <c r="C95" i="4"/>
  <c r="G94" i="4"/>
  <c r="F94" i="4"/>
  <c r="D94" i="4"/>
  <c r="C94" i="4"/>
  <c r="G93" i="4"/>
  <c r="F93" i="4"/>
  <c r="D92" i="4"/>
  <c r="G92" i="4" s="1"/>
  <c r="C92" i="4"/>
  <c r="F92" i="4" s="1"/>
  <c r="G91" i="4"/>
  <c r="F91" i="4"/>
  <c r="G90" i="4"/>
  <c r="F90" i="4"/>
  <c r="D89" i="4"/>
  <c r="G89" i="4" s="1"/>
  <c r="C89" i="4"/>
  <c r="F89" i="4" s="1"/>
  <c r="G88" i="4"/>
  <c r="F88" i="4"/>
  <c r="G87" i="4"/>
  <c r="F87" i="4"/>
  <c r="D87" i="4"/>
  <c r="C87" i="4"/>
  <c r="G86" i="4"/>
  <c r="E86" i="4"/>
  <c r="D86" i="4"/>
  <c r="C86" i="4"/>
  <c r="F86" i="4" s="1"/>
  <c r="E85" i="4"/>
  <c r="D85" i="4"/>
  <c r="G85" i="4" s="1"/>
  <c r="C85" i="4"/>
  <c r="F85" i="4" s="1"/>
  <c r="G84" i="4"/>
  <c r="F84" i="4"/>
  <c r="G83" i="4"/>
  <c r="F83" i="4"/>
  <c r="D82" i="4"/>
  <c r="G82" i="4" s="1"/>
  <c r="C82" i="4"/>
  <c r="F82" i="4" s="1"/>
  <c r="D81" i="4"/>
  <c r="G81" i="4" s="1"/>
  <c r="C81" i="4"/>
  <c r="F81" i="4" s="1"/>
  <c r="D80" i="4"/>
  <c r="G80" i="4" s="1"/>
  <c r="C80" i="4"/>
  <c r="F80" i="4" s="1"/>
  <c r="G79" i="4"/>
  <c r="F79" i="4"/>
  <c r="G78" i="4"/>
  <c r="F78" i="4"/>
  <c r="G77" i="4"/>
  <c r="F77" i="4"/>
  <c r="G76" i="4"/>
  <c r="F76" i="4"/>
  <c r="D76" i="4"/>
  <c r="C76" i="4"/>
  <c r="G75" i="4"/>
  <c r="E75" i="4"/>
  <c r="D75" i="4"/>
  <c r="C75" i="4"/>
  <c r="F75" i="4" s="1"/>
  <c r="G74" i="4"/>
  <c r="F74" i="4"/>
  <c r="F73" i="4"/>
  <c r="D73" i="4"/>
  <c r="G73" i="4" s="1"/>
  <c r="C73" i="4"/>
  <c r="G72" i="4"/>
  <c r="F72" i="4"/>
  <c r="G71" i="4"/>
  <c r="F71" i="4"/>
  <c r="G69" i="4"/>
  <c r="F69" i="4"/>
  <c r="G68" i="4"/>
  <c r="F68" i="4"/>
  <c r="G67" i="4"/>
  <c r="F67" i="4"/>
  <c r="G65" i="4"/>
  <c r="F65" i="4"/>
  <c r="G64" i="4"/>
  <c r="F64" i="4"/>
  <c r="G63" i="4"/>
  <c r="F63" i="4"/>
  <c r="G62" i="4"/>
  <c r="F62" i="4"/>
  <c r="G61" i="4"/>
  <c r="F61" i="4"/>
  <c r="F60" i="4"/>
  <c r="D60" i="4"/>
  <c r="G60" i="4" s="1"/>
  <c r="C60" i="4"/>
  <c r="G59" i="4"/>
  <c r="F59" i="4"/>
  <c r="E58" i="4"/>
  <c r="D58" i="4"/>
  <c r="G58" i="4" s="1"/>
  <c r="C58" i="4"/>
  <c r="F58" i="4" s="1"/>
  <c r="G57" i="4"/>
  <c r="F57" i="4"/>
  <c r="G56" i="4"/>
  <c r="F56" i="4"/>
  <c r="G55" i="4"/>
  <c r="F55" i="4"/>
  <c r="G54" i="4"/>
  <c r="F54" i="4"/>
  <c r="D53" i="4"/>
  <c r="G53" i="4" s="1"/>
  <c r="C53" i="4"/>
  <c r="F53" i="4" s="1"/>
  <c r="E52" i="4"/>
  <c r="D52" i="4"/>
  <c r="G52" i="4" s="1"/>
  <c r="C52" i="4"/>
  <c r="F52" i="4" s="1"/>
  <c r="G51" i="4"/>
  <c r="F51" i="4"/>
  <c r="G50" i="4"/>
  <c r="F50" i="4"/>
  <c r="G49" i="4"/>
  <c r="F49" i="4"/>
  <c r="G48" i="4"/>
  <c r="F48" i="4"/>
  <c r="G47" i="4"/>
  <c r="F47" i="4"/>
  <c r="E46" i="4"/>
  <c r="D46" i="4"/>
  <c r="G46" i="4" s="1"/>
  <c r="C46" i="4"/>
  <c r="F46" i="4" s="1"/>
  <c r="G45" i="4"/>
  <c r="F45" i="4"/>
  <c r="G43" i="4"/>
  <c r="F43" i="4"/>
  <c r="G42" i="4"/>
  <c r="F42" i="4"/>
  <c r="G41" i="4"/>
  <c r="F41" i="4"/>
  <c r="D40" i="4"/>
  <c r="G40" i="4" s="1"/>
  <c r="C40" i="4"/>
  <c r="F40" i="4" s="1"/>
  <c r="D39" i="4"/>
  <c r="G39" i="4" s="1"/>
  <c r="C39" i="4"/>
  <c r="F39" i="4" s="1"/>
  <c r="D38" i="4"/>
  <c r="G38" i="4" s="1"/>
  <c r="C38" i="4"/>
  <c r="F38" i="4" s="1"/>
  <c r="D37" i="4"/>
  <c r="G37" i="4" s="1"/>
  <c r="C37" i="4"/>
  <c r="F37" i="4" s="1"/>
  <c r="D36" i="4"/>
  <c r="G36" i="4" s="1"/>
  <c r="C36" i="4"/>
  <c r="F36" i="4" s="1"/>
  <c r="G35" i="4"/>
  <c r="F35" i="4"/>
  <c r="G34" i="4"/>
  <c r="F34" i="4"/>
  <c r="D33" i="4"/>
  <c r="G33" i="4" s="1"/>
  <c r="C33" i="4"/>
  <c r="F33" i="4" s="1"/>
  <c r="D32" i="4"/>
  <c r="G32" i="4" s="1"/>
  <c r="C32" i="4"/>
  <c r="F32" i="4" s="1"/>
  <c r="D31" i="4"/>
  <c r="G31" i="4" s="1"/>
  <c r="C31" i="4"/>
  <c r="F31" i="4" s="1"/>
  <c r="D30" i="4"/>
  <c r="G30" i="4" s="1"/>
  <c r="C30" i="4"/>
  <c r="F30" i="4" s="1"/>
  <c r="D29" i="4"/>
  <c r="G29" i="4" s="1"/>
  <c r="C29" i="4"/>
  <c r="F29" i="4" s="1"/>
  <c r="G28" i="4"/>
  <c r="F28" i="4"/>
  <c r="G27" i="4"/>
  <c r="F27" i="4"/>
  <c r="G26" i="4"/>
  <c r="F26" i="4"/>
  <c r="G25" i="4"/>
  <c r="F25" i="4"/>
  <c r="D25" i="4"/>
  <c r="C25" i="4"/>
  <c r="G24" i="4"/>
  <c r="F24" i="4"/>
  <c r="D23" i="4"/>
  <c r="G23" i="4" s="1"/>
  <c r="C23" i="4"/>
  <c r="F23" i="4" s="1"/>
  <c r="G22" i="4"/>
  <c r="F22" i="4"/>
  <c r="G21" i="4"/>
  <c r="F21" i="4"/>
  <c r="G19" i="4"/>
  <c r="F19" i="4"/>
  <c r="G18" i="4"/>
  <c r="F18" i="4"/>
  <c r="G17" i="4"/>
  <c r="F17" i="4"/>
  <c r="G16" i="4"/>
  <c r="F16" i="4"/>
  <c r="G14" i="4"/>
  <c r="F14" i="4"/>
  <c r="G13" i="4"/>
  <c r="F13" i="4"/>
  <c r="G12" i="4"/>
  <c r="F12" i="4"/>
  <c r="G11" i="4"/>
  <c r="F11" i="4"/>
  <c r="G10" i="4"/>
  <c r="F10" i="4"/>
  <c r="C102" i="4" l="1"/>
  <c r="F102" i="4" s="1"/>
</calcChain>
</file>

<file path=xl/sharedStrings.xml><?xml version="1.0" encoding="utf-8"?>
<sst xmlns="http://schemas.openxmlformats.org/spreadsheetml/2006/main" count="342" uniqueCount="124">
  <si>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</si>
  <si>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</si>
  <si>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</si>
  <si>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</si>
  <si>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</si>
  <si>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</si>
  <si>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</si>
  <si>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</si>
  <si>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</si>
  <si>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Current Appropriation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</si>
  <si>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</si>
  <si>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Personal Services                                                                                                                                                                                                                 </t>
  </si>
  <si>
    <t xml:space="preserve">          b.) Maintenance &amp; Other Operating Expenses                                                                                                                                                                                            </t>
  </si>
  <si>
    <t xml:space="preserve">          c.)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</si>
  <si>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</si>
  <si>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a.) Personal Services                                                                                                                                                                                                            </t>
  </si>
  <si>
    <t xml:space="preserve">               b.) Maintenance &amp; Other Operating Expenses                                                                                                                                                                                       </t>
  </si>
  <si>
    <t xml:space="preserve">               c.)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</si>
  <si>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Economic Enterprise Management Office                                                                                                                                                                              </t>
  </si>
  <si>
    <t xml:space="preserve">                         a.) Personal Services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</si>
  <si>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- Mpbf                                                                                                                                                                              </t>
  </si>
  <si>
    <t xml:space="preserve">                                   Salaries And Wages - Regular                                                                                                                                                                                 </t>
  </si>
  <si>
    <t xml:space="preserve">                                   Salaries And Wages - Casual / Contractual                                                                                                                                                                    </t>
  </si>
  <si>
    <t xml:space="preserve">                                   Personal Economic Relief Allowance (pera)                                                                                                                                                                    </t>
  </si>
  <si>
    <t xml:space="preserve">                                   Representation Allowance (ra)                                                                                                                                                                                </t>
  </si>
  <si>
    <t xml:space="preserve">                                   Transportation Allowance (ta)                                                                                                                                                                                </t>
  </si>
  <si>
    <t xml:space="preserve">                                   Clothing/uniform Allowance                                                                                                                                                                                   </t>
  </si>
  <si>
    <t xml:space="preserve">                                   Subsistence Allowance                                                                                                                                                                                        </t>
  </si>
  <si>
    <t xml:space="preserve">                                   Laundry Allowance                                                                                                                                                                                            </t>
  </si>
  <si>
    <t xml:space="preserve">                                   Hazard Pay                                                                                                                                                                                                   </t>
  </si>
  <si>
    <t xml:space="preserve">                                   Year End Bonus                                                                                                                                                                                               </t>
  </si>
  <si>
    <t xml:space="preserve">                                   Cash Gift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</si>
  <si>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 - Medical Allowance                                                                                                                                                             </t>
  </si>
  <si>
    <t xml:space="preserve">                                   Other Bonuses And Allowances - Mid Year Bonus                                                                                                                                                                </t>
  </si>
  <si>
    <t xml:space="preserve">                                   Retirement And Life Insurance Premiums                                                                                                                                                                       </t>
  </si>
  <si>
    <t xml:space="preserve">                                   Pag-ibig Contributions                                                                                                                                                                                       </t>
  </si>
  <si>
    <t xml:space="preserve">                                   Philhealth Contributions                                                                                                                                                                                     </t>
  </si>
  <si>
    <t xml:space="preserve">                                   Employees Compensation Insurance Premiums                                                                                                                                                                    </t>
  </si>
  <si>
    <t xml:space="preserve">                                   Other Personnel Benefits - Pei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</si>
  <si>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                                                                                                                                                                                    </t>
  </si>
  <si>
    <t xml:space="preserve">                         b.)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</si>
  <si>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Traveling Expenses - Local                                                                                                                                                                                   </t>
  </si>
  <si>
    <t xml:space="preserve">                                   Training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</si>
  <si>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Office Supplies Expenses                                                                                                                                                                                     </t>
  </si>
  <si>
    <t xml:space="preserve">                                   Drugs And Medicines Expenses                                                                                                                                                                                 </t>
  </si>
  <si>
    <t xml:space="preserve">                                   Medical, Dental And Laboratory Supplies Expenses                                                                                                                                                             </t>
  </si>
  <si>
    <t xml:space="preserve">                                   Fuel, Oil And Lubricants Expenses                                                                                                                                                                            </t>
  </si>
  <si>
    <t xml:space="preserve">                                   Semi-expendable Machinery And Equipment Expenses                                                                                                                                                             </t>
  </si>
  <si>
    <t xml:space="preserve">                                   Semi-expendable Furniture, Fixtures And Books Expenses                                                                                                                                                       </t>
  </si>
  <si>
    <t xml:space="preserve">                                   Other Supplies And Materials Expenses                                                                                                                                                                        </t>
  </si>
  <si>
    <t xml:space="preserve">                                   Water Expenses                                                                                                                                                                                               </t>
  </si>
  <si>
    <t xml:space="preserve">                                   Postage And Courier Services                                                                                                                                                                                 </t>
  </si>
  <si>
    <t xml:space="preserve">                                   Telephone Expenses-mobile                                                                                                                                                                                    </t>
  </si>
  <si>
    <t xml:space="preserve">                                   Other General Services   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</si>
  <si>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Equipment                                                                                                                                                            </t>
  </si>
  <si>
    <t xml:space="preserve">                                   Repairs And Maintenance - Transportation Equipment                                                                                                                                                           </t>
  </si>
  <si>
    <t xml:space="preserve">                                   Taxes, Duties And Licenses                                                                                                                                                                                   </t>
  </si>
  <si>
    <t xml:space="preserve">                                   Fidelity Bond Premiums                                                                                                                                                                                       </t>
  </si>
  <si>
    <t xml:space="preserve">                                   Printing And Publication Expenses                                                                                                                                                                            </t>
  </si>
  <si>
    <t xml:space="preserve">                                   Representation Expenses                                                                                                                                                                                      </t>
  </si>
  <si>
    <t xml:space="preserve">                                   Other Maintenance And Operating Expenses                                                                                                                                                                     </t>
  </si>
  <si>
    <t xml:space="preserve">                         c.)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</si>
  <si>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</si>
  <si>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2. Davao De Oro Provincial Hospital-Montevista                                                                                                                                                                                   </t>
  </si>
  <si>
    <t xml:space="preserve">4421-1    </t>
  </si>
  <si>
    <t xml:space="preserve">                                   Salaries And Wages - Casual/contractual                                                                                                                                                                      </t>
  </si>
  <si>
    <t xml:space="preserve">                                   Longevity Pay                                                                                                                                                                                                </t>
  </si>
  <si>
    <t xml:space="preserve">                                   Overtime And Night Pay - Casual (prior Years)                                                                                                                                                                </t>
  </si>
  <si>
    <t xml:space="preserve">                                   Overtime And Night Pay - Permanent (prior Years)                                                                                                                                                             </t>
  </si>
  <si>
    <t xml:space="preserve">                                   Salaries And Wages - Regular (prior Years)                                                                                                                                                                   </t>
  </si>
  <si>
    <t xml:space="preserve">                                   Hazard Pay - Prior Year                                                                                                                                                                                      </t>
  </si>
  <si>
    <t xml:space="preserve">                                   Overtime And Night Pay - Regular (prior Years)                                                                                                                                                               </t>
  </si>
  <si>
    <t xml:space="preserve">                                   Year End Bonus - Prior Year                                                                                                                                                                                  </t>
  </si>
  <si>
    <t xml:space="preserve">                                   Retirement And Life Insurance Premiums - Prior Year                                                                                                                                                          </t>
  </si>
  <si>
    <t xml:space="preserve">                                   Accountable Forms Expenses                                                                                                                                                                                   </t>
  </si>
  <si>
    <t xml:space="preserve">                                   Food Supplies Expenses                                                                                                                                                                                       </t>
  </si>
  <si>
    <t xml:space="preserve">                                   Other Supplies And Materials Expenses - Cooking Gas Expenses                                                                                                                                                 </t>
  </si>
  <si>
    <t xml:space="preserve">                                   Electricity Expenses                                                                                                                                                                                         </t>
  </si>
  <si>
    <t xml:space="preserve">                                   Internet Subcription Expenses                                                                                                                                                                                </t>
  </si>
  <si>
    <t xml:space="preserve">                                   Cable, Satellite, Telegraph And Radio Expenses                                                                                                                                                               </t>
  </si>
  <si>
    <t xml:space="preserve">                                   Repairs And Maintenance - Buildings And Other Structures                                                                                                                                                     </t>
  </si>
  <si>
    <t xml:space="preserve">                                   Repairs And Maintenance - Disaster Response And Rescue Equipment                                                                                                                                             </t>
  </si>
  <si>
    <t xml:space="preserve">                                   Repairs And Maintenance - Hospital Equipment                                                                                                                                                                 </t>
  </si>
  <si>
    <t xml:space="preserve">                                   Repairs And Maintenance - It Equipment                                                                                                                                                                       </t>
  </si>
  <si>
    <t xml:space="preserve">                                   Repairs And Maintenance - Office Equipment                                                                                                                                                                   </t>
  </si>
  <si>
    <t xml:space="preserve">                                   Rent Expenses                                                                                                                                                                                                </t>
  </si>
  <si>
    <t xml:space="preserve">                                   Membership Dues And Contributions To Organizations                                                                                                                                                           </t>
  </si>
  <si>
    <t xml:space="preserve">                                   Environment/sanitary Services                                                                                                                                                                                </t>
  </si>
  <si>
    <t xml:space="preserve">                                   Molecular Laboratory Operation                                                                                                                                                                               </t>
  </si>
  <si>
    <t xml:space="preserve">                                   Icte - Purchase Of Ict Equipments                                                                                                                                                                            </t>
  </si>
  <si>
    <t xml:space="preserve">                                   Medical Equipment - Purchase Of Hospital Equipments                                                                                                                                                          </t>
  </si>
  <si>
    <t xml:space="preserve">                                   Hospitals And Health Centers                                                                                                                                                                                 </t>
  </si>
  <si>
    <t xml:space="preserve">                                   Sb#1 Improvement Of Access Road To Emergency Room                                                                                                                                                            </t>
  </si>
  <si>
    <t xml:space="preserve">                                   Sb#1 Improvement Of Icu Roof Deck                                                                                                                                                                            </t>
  </si>
  <si>
    <t xml:space="preserve">               3. Davao De Oro Provincial Hospital-Pantukan                                                                                                                                                                                     </t>
  </si>
  <si>
    <t xml:space="preserve">4421-2    </t>
  </si>
  <si>
    <t xml:space="preserve">                                   Overtime And Night Pay                                                                                                                                                                                       </t>
  </si>
  <si>
    <t xml:space="preserve">                                   Terminal Leave Benefits                                                                                                                                                                                      </t>
  </si>
  <si>
    <t xml:space="preserve">                                   Other General Services - Prior Year                                                                                                                                                                          </t>
  </si>
  <si>
    <t xml:space="preserve">                                   Medical Equipment                                                           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</si>
  <si>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</si>
  <si>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4. Davao De Oro Provincial Hospital-Laak                                                                                                                                                                                         </t>
  </si>
  <si>
    <t xml:space="preserve">4421-3    </t>
  </si>
  <si>
    <t xml:space="preserve">                                   Communication Equipment - Installation Of Internet Protocol Private Automated Branch Exchange (ippabx)                                                                                                       </t>
  </si>
  <si>
    <t xml:space="preserve">                                   Communication Equipment - Installation Of Paging System                                                                                                                                                      </t>
  </si>
  <si>
    <t xml:space="preserve">                                   Furniture And Fixtures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</si>
  <si>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</si>
  <si>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5. Davao De Oro Provincial Hospital-Maragusan                                                                                                                                                                                    </t>
  </si>
  <si>
    <t xml:space="preserve">4421-4    </t>
  </si>
  <si>
    <t xml:space="preserve">                                   Medical Equipment - Purchase Of Anesthesia Machine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</si>
  <si>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</si>
  <si>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</si>
  <si>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</si>
  <si>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December 31, 2025</t>
  </si>
  <si>
    <t xml:space="preserve">                               MOOE-Regular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</si>
  <si>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</si>
  <si>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</si>
  <si>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</si>
  <si>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ROSELYN M. WATA</t>
  </si>
  <si>
    <t>JOSEPH M. BARACE</t>
  </si>
  <si>
    <t xml:space="preserve">  ARIEL D. MANDAWE</t>
  </si>
  <si>
    <t xml:space="preserve">                                                                                Accounting Clerk 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</si>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</sst>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3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43" fontId="1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104775</xdr:rowOff>
    </xdr:from>
    <xdr:to>
      <xdr:col>0</xdr:col>
      <xdr:colOff>3573587</xdr:colOff>
      <xdr:row>6</xdr:row>
      <xdr:rowOff>19050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04775"/>
          <a:ext cx="1173287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0</xdr:row>
      <xdr:rowOff>95250</xdr:rowOff>
    </xdr:from>
    <xdr:to>
      <xdr:col>5</xdr:col>
      <xdr:colOff>857250</xdr:colOff>
      <xdr:row>6</xdr:row>
      <xdr:rowOff>146255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95250"/>
          <a:ext cx="1466850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1104900</xdr:colOff>
      <xdr:row>351</xdr:row>
      <xdr:rowOff>85725</xdr:rowOff>
    </xdr:from>
    <xdr:to>
      <xdr:col>7</xdr:col>
      <xdr:colOff>65753</xdr:colOff>
      <xdr:row>359</xdr:row>
      <xdr:rowOff>85725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1104900" y="67332225"/>
          <a:ext cx="9638378" cy="1524000"/>
          <a:chOff x="76200" y="10953750"/>
          <a:chExt cx="6386195" cy="1415415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364916" y="10953750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Building,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abSelected="1" workbookViewId="0">
      <selection activeCell="C9" sqref="C9"/>
    </sheetView>
  </sheetViews>
  <sheetFormatPr defaultRowHeight="15" x14ac:dyDescent="0.25"/>
  <cols>
    <col min="1" max="1" width="75.7109375" style="5" customWidth="1"/>
    <col min="2" max="2" width="9" style="5" bestFit="1" customWidth="1"/>
    <col min="3" max="5" width="15.28515625" style="10" bestFit="1" customWidth="1"/>
    <col min="6" max="6" width="14.28515625" style="10" bestFit="1" customWidth="1"/>
    <col min="7" max="7" width="15.28515625" style="10" bestFit="1" customWidth="1"/>
    <col min="8" max="16384" width="9.140625" style="5"/>
  </cols>
  <sheetData>
    <row r="1" spans="1:7" x14ac:dyDescent="0.25">
      <c r="A1" s="18" t="s">
        <v>110</v>
      </c>
      <c r="B1" s="18"/>
      <c r="C1" s="18"/>
      <c r="D1" s="18"/>
      <c r="E1" s="18"/>
      <c r="F1" s="18"/>
      <c r="G1" s="18"/>
    </row>
    <row r="2" spans="1:7" x14ac:dyDescent="0.25">
      <c r="A2" s="18" t="s">
        <v>111</v>
      </c>
      <c r="B2" s="18"/>
      <c r="C2" s="18"/>
      <c r="D2" s="18"/>
      <c r="E2" s="18"/>
      <c r="F2" s="18"/>
      <c r="G2" s="18"/>
    </row>
    <row r="3" spans="1:7" x14ac:dyDescent="0.25">
      <c r="A3" s="18" t="s">
        <v>112</v>
      </c>
      <c r="B3" s="18"/>
      <c r="C3" s="18"/>
      <c r="D3" s="18"/>
      <c r="E3" s="18"/>
      <c r="F3" s="18"/>
      <c r="G3" s="18"/>
    </row>
    <row r="5" spans="1:7" x14ac:dyDescent="0.25">
      <c r="A5" s="18" t="s">
        <v>0</v>
      </c>
      <c r="B5" s="18"/>
      <c r="C5" s="18"/>
      <c r="D5" s="18"/>
      <c r="E5" s="18"/>
      <c r="F5" s="18"/>
      <c r="G5" s="18"/>
    </row>
    <row r="6" spans="1:7" x14ac:dyDescent="0.25">
      <c r="A6" s="18" t="s">
        <v>113</v>
      </c>
      <c r="B6" s="18"/>
      <c r="C6" s="18"/>
      <c r="D6" s="18"/>
      <c r="E6" s="18"/>
      <c r="F6" s="18"/>
      <c r="G6" s="18"/>
    </row>
    <row r="7" spans="1:7" x14ac:dyDescent="0.25">
      <c r="A7" s="7"/>
    </row>
    <row r="8" spans="1:7" s="2" customFormat="1" ht="30" x14ac:dyDescent="0.25">
      <c r="A8" s="13" t="s">
        <v>1</v>
      </c>
      <c r="B8" s="13" t="s">
        <v>2</v>
      </c>
      <c r="C8" s="14" t="s">
        <v>3</v>
      </c>
      <c r="D8" s="14" t="s">
        <v>4</v>
      </c>
      <c r="E8" s="14" t="s">
        <v>5</v>
      </c>
      <c r="F8" s="15" t="s">
        <v>6</v>
      </c>
      <c r="G8" s="15" t="s">
        <v>7</v>
      </c>
    </row>
    <row r="10" spans="1:7" x14ac:dyDescent="0.25">
      <c r="A10" s="5" t="s">
        <v>8</v>
      </c>
      <c r="B10" s="8">
        <v>100</v>
      </c>
      <c r="C10" s="10">
        <v>815033184.97000003</v>
      </c>
      <c r="D10" s="10">
        <v>794713669.62</v>
      </c>
      <c r="E10" s="12">
        <v>677762388.11000001</v>
      </c>
      <c r="F10" s="10">
        <f t="shared" ref="F10:G14" si="0">C10-D10</f>
        <v>20319515.350000024</v>
      </c>
      <c r="G10" s="10">
        <f t="shared" si="0"/>
        <v>116951281.50999999</v>
      </c>
    </row>
    <row r="11" spans="1:7" x14ac:dyDescent="0.25">
      <c r="A11" s="5" t="s">
        <v>9</v>
      </c>
      <c r="B11" s="8" t="s">
        <v>10</v>
      </c>
      <c r="C11" s="10">
        <v>815033184.97000003</v>
      </c>
      <c r="D11" s="10">
        <v>794713669.62</v>
      </c>
      <c r="E11" s="10">
        <v>677762388.11000001</v>
      </c>
      <c r="F11" s="10">
        <f t="shared" si="0"/>
        <v>20319515.350000024</v>
      </c>
      <c r="G11" s="10">
        <f t="shared" si="0"/>
        <v>116951281.50999999</v>
      </c>
    </row>
    <row r="12" spans="1:7" x14ac:dyDescent="0.25">
      <c r="A12" s="5" t="s">
        <v>11</v>
      </c>
      <c r="B12" s="8" t="s">
        <v>10</v>
      </c>
      <c r="C12" s="10">
        <v>387703175.97000003</v>
      </c>
      <c r="D12" s="10">
        <v>374683060.62</v>
      </c>
      <c r="E12" s="10">
        <v>330503024.05000001</v>
      </c>
      <c r="F12" s="10">
        <f t="shared" si="0"/>
        <v>13020115.350000024</v>
      </c>
      <c r="G12" s="10">
        <f t="shared" si="0"/>
        <v>44180036.569999993</v>
      </c>
    </row>
    <row r="13" spans="1:7" x14ac:dyDescent="0.25">
      <c r="A13" s="5" t="s">
        <v>12</v>
      </c>
      <c r="B13" s="8" t="s">
        <v>10</v>
      </c>
      <c r="C13" s="10">
        <v>378277409</v>
      </c>
      <c r="D13" s="10">
        <v>375548009</v>
      </c>
      <c r="E13" s="10">
        <v>340741364.06</v>
      </c>
      <c r="F13" s="10">
        <f t="shared" si="0"/>
        <v>2729400</v>
      </c>
      <c r="G13" s="10">
        <f t="shared" si="0"/>
        <v>34806644.939999998</v>
      </c>
    </row>
    <row r="14" spans="1:7" x14ac:dyDescent="0.25">
      <c r="A14" s="5" t="s">
        <v>13</v>
      </c>
      <c r="B14" s="8" t="s">
        <v>10</v>
      </c>
      <c r="C14" s="10">
        <v>49052600</v>
      </c>
      <c r="D14" s="10">
        <v>44482600</v>
      </c>
      <c r="E14" s="10">
        <v>6518000</v>
      </c>
      <c r="F14" s="10">
        <f t="shared" si="0"/>
        <v>4570000</v>
      </c>
      <c r="G14" s="10">
        <f t="shared" si="0"/>
        <v>37964600</v>
      </c>
    </row>
    <row r="15" spans="1:7" x14ac:dyDescent="0.25">
      <c r="B15" s="8"/>
    </row>
    <row r="16" spans="1:7" x14ac:dyDescent="0.25">
      <c r="A16" s="5" t="s">
        <v>14</v>
      </c>
      <c r="B16" s="8" t="s">
        <v>10</v>
      </c>
      <c r="C16" s="10">
        <v>815033184.97000003</v>
      </c>
      <c r="D16" s="10">
        <v>794713669.62</v>
      </c>
      <c r="E16" s="10">
        <v>677762388.11000001</v>
      </c>
      <c r="F16" s="10">
        <f t="shared" ref="F16:G19" si="1">C16-D16</f>
        <v>20319515.350000024</v>
      </c>
      <c r="G16" s="10">
        <f t="shared" si="1"/>
        <v>116951281.50999999</v>
      </c>
    </row>
    <row r="17" spans="1:7" x14ac:dyDescent="0.25">
      <c r="A17" s="5" t="s">
        <v>15</v>
      </c>
      <c r="B17" s="8" t="s">
        <v>10</v>
      </c>
      <c r="C17" s="10">
        <v>387703175.97000003</v>
      </c>
      <c r="D17" s="10">
        <v>374683060.62</v>
      </c>
      <c r="E17" s="10">
        <v>330503024.05000001</v>
      </c>
      <c r="F17" s="10">
        <f t="shared" si="1"/>
        <v>13020115.350000024</v>
      </c>
      <c r="G17" s="10">
        <f t="shared" si="1"/>
        <v>44180036.569999993</v>
      </c>
    </row>
    <row r="18" spans="1:7" x14ac:dyDescent="0.25">
      <c r="A18" s="5" t="s">
        <v>16</v>
      </c>
      <c r="B18" s="8" t="s">
        <v>10</v>
      </c>
      <c r="C18" s="10">
        <v>378277409</v>
      </c>
      <c r="D18" s="10">
        <v>375548009</v>
      </c>
      <c r="E18" s="10">
        <v>340741364.06</v>
      </c>
      <c r="F18" s="10">
        <f t="shared" si="1"/>
        <v>2729400</v>
      </c>
      <c r="G18" s="10">
        <f t="shared" si="1"/>
        <v>34806644.939999998</v>
      </c>
    </row>
    <row r="19" spans="1:7" x14ac:dyDescent="0.25">
      <c r="A19" s="5" t="s">
        <v>17</v>
      </c>
      <c r="B19" s="8" t="s">
        <v>10</v>
      </c>
      <c r="C19" s="10">
        <v>49052600</v>
      </c>
      <c r="D19" s="10">
        <v>44482600</v>
      </c>
      <c r="E19" s="10">
        <v>6518000</v>
      </c>
      <c r="F19" s="10">
        <f t="shared" si="1"/>
        <v>4570000</v>
      </c>
      <c r="G19" s="10">
        <f t="shared" si="1"/>
        <v>37964600</v>
      </c>
    </row>
    <row r="20" spans="1:7" x14ac:dyDescent="0.25">
      <c r="B20" s="8"/>
    </row>
    <row r="21" spans="1:7" x14ac:dyDescent="0.25">
      <c r="A21" s="6" t="s">
        <v>18</v>
      </c>
      <c r="B21" s="9">
        <v>4421</v>
      </c>
      <c r="C21" s="11">
        <v>42346031.969999999</v>
      </c>
      <c r="D21" s="11">
        <v>26948166.620000001</v>
      </c>
      <c r="E21" s="11">
        <v>18268701.57</v>
      </c>
      <c r="F21" s="11">
        <f t="shared" ref="F21:F43" si="2">C21-D21</f>
        <v>15397865.349999998</v>
      </c>
      <c r="G21" s="11">
        <f t="shared" ref="G21:G43" si="3">D21-E21</f>
        <v>8679465.0500000007</v>
      </c>
    </row>
    <row r="22" spans="1:7" s="6" customFormat="1" x14ac:dyDescent="0.25">
      <c r="A22" s="6" t="s">
        <v>19</v>
      </c>
      <c r="B22" s="9">
        <v>100</v>
      </c>
      <c r="C22" s="11">
        <v>33590572.969999999</v>
      </c>
      <c r="D22" s="11">
        <v>20570457.620000001</v>
      </c>
      <c r="E22" s="11">
        <v>14117168.119999999</v>
      </c>
      <c r="F22" s="11">
        <f t="shared" si="2"/>
        <v>13020115.349999998</v>
      </c>
      <c r="G22" s="11">
        <f t="shared" si="3"/>
        <v>6453289.5000000019</v>
      </c>
    </row>
    <row r="23" spans="1:7" x14ac:dyDescent="0.25">
      <c r="A23" s="5" t="s">
        <v>21</v>
      </c>
      <c r="B23" s="8">
        <v>50101010</v>
      </c>
      <c r="C23" s="10">
        <f>2352715+202555</f>
        <v>2555270</v>
      </c>
      <c r="D23" s="10">
        <f>2352715+202555</f>
        <v>2555270</v>
      </c>
      <c r="E23" s="10">
        <v>1967110.69</v>
      </c>
      <c r="F23" s="10">
        <f t="shared" si="2"/>
        <v>0</v>
      </c>
      <c r="G23" s="10">
        <f t="shared" si="3"/>
        <v>588159.31000000006</v>
      </c>
    </row>
    <row r="24" spans="1:7" x14ac:dyDescent="0.25">
      <c r="A24" s="5" t="s">
        <v>22</v>
      </c>
      <c r="B24" s="8">
        <v>50101020</v>
      </c>
      <c r="C24" s="10">
        <v>1742819</v>
      </c>
      <c r="D24" s="10">
        <v>871409.5</v>
      </c>
      <c r="E24" s="10">
        <v>104297.66</v>
      </c>
      <c r="F24" s="10">
        <f t="shared" si="2"/>
        <v>871409.5</v>
      </c>
      <c r="G24" s="10">
        <f t="shared" si="3"/>
        <v>767111.84</v>
      </c>
    </row>
    <row r="25" spans="1:7" x14ac:dyDescent="0.25">
      <c r="A25" s="5" t="s">
        <v>23</v>
      </c>
      <c r="B25" s="8">
        <v>50102010</v>
      </c>
      <c r="C25" s="10">
        <f>100000+20000</f>
        <v>120000</v>
      </c>
      <c r="D25" s="10">
        <f>100000+20000</f>
        <v>120000</v>
      </c>
      <c r="E25" s="10">
        <v>78000</v>
      </c>
      <c r="F25" s="10">
        <f t="shared" si="2"/>
        <v>0</v>
      </c>
      <c r="G25" s="10">
        <f t="shared" si="3"/>
        <v>42000</v>
      </c>
    </row>
    <row r="26" spans="1:7" x14ac:dyDescent="0.25">
      <c r="A26" s="5" t="s">
        <v>24</v>
      </c>
      <c r="B26" s="8">
        <v>50102020</v>
      </c>
      <c r="C26" s="10">
        <v>114000</v>
      </c>
      <c r="D26" s="10">
        <v>114000</v>
      </c>
      <c r="E26" s="10">
        <v>88000</v>
      </c>
      <c r="F26" s="10">
        <f t="shared" si="2"/>
        <v>0</v>
      </c>
      <c r="G26" s="10">
        <f t="shared" si="3"/>
        <v>26000</v>
      </c>
    </row>
    <row r="27" spans="1:7" x14ac:dyDescent="0.25">
      <c r="A27" s="5" t="s">
        <v>25</v>
      </c>
      <c r="B27" s="8">
        <v>50102030</v>
      </c>
      <c r="C27" s="10">
        <v>62000</v>
      </c>
      <c r="D27" s="10">
        <v>62000</v>
      </c>
      <c r="E27" s="10">
        <v>2375</v>
      </c>
      <c r="F27" s="10">
        <f t="shared" si="2"/>
        <v>0</v>
      </c>
      <c r="G27" s="10">
        <f t="shared" si="3"/>
        <v>59625</v>
      </c>
    </row>
    <row r="28" spans="1:7" x14ac:dyDescent="0.25">
      <c r="A28" s="5" t="s">
        <v>26</v>
      </c>
      <c r="B28" s="8">
        <v>50102040</v>
      </c>
      <c r="C28" s="10">
        <v>35000</v>
      </c>
      <c r="D28" s="10">
        <v>35000</v>
      </c>
      <c r="E28" s="10">
        <v>28000</v>
      </c>
      <c r="F28" s="10">
        <f t="shared" si="2"/>
        <v>0</v>
      </c>
      <c r="G28" s="10">
        <f t="shared" si="3"/>
        <v>7000</v>
      </c>
    </row>
    <row r="29" spans="1:7" x14ac:dyDescent="0.25">
      <c r="A29" s="5" t="s">
        <v>27</v>
      </c>
      <c r="B29" s="8">
        <v>50102050</v>
      </c>
      <c r="C29" s="10">
        <f>90000+15000</f>
        <v>105000</v>
      </c>
      <c r="D29" s="10">
        <f>90000+15000</f>
        <v>105000</v>
      </c>
      <c r="E29" s="10">
        <v>36500</v>
      </c>
      <c r="F29" s="10">
        <f t="shared" si="2"/>
        <v>0</v>
      </c>
      <c r="G29" s="10">
        <f t="shared" si="3"/>
        <v>68500</v>
      </c>
    </row>
    <row r="30" spans="1:7" x14ac:dyDescent="0.25">
      <c r="A30" s="5" t="s">
        <v>28</v>
      </c>
      <c r="B30" s="8">
        <v>50102060</v>
      </c>
      <c r="C30" s="10">
        <f>9000+1500</f>
        <v>10500</v>
      </c>
      <c r="D30" s="10">
        <f>9000+1500</f>
        <v>10500</v>
      </c>
      <c r="E30" s="10">
        <v>4854.57</v>
      </c>
      <c r="F30" s="10">
        <f t="shared" si="2"/>
        <v>0</v>
      </c>
      <c r="G30" s="10">
        <f t="shared" si="3"/>
        <v>5645.43</v>
      </c>
    </row>
    <row r="31" spans="1:7" x14ac:dyDescent="0.25">
      <c r="A31" s="5" t="s">
        <v>29</v>
      </c>
      <c r="B31" s="8">
        <v>50102110</v>
      </c>
      <c r="C31" s="10">
        <f>523697+50639</f>
        <v>574336</v>
      </c>
      <c r="D31" s="10">
        <f>523697+50639</f>
        <v>574336</v>
      </c>
      <c r="E31" s="10">
        <v>377051.19</v>
      </c>
      <c r="F31" s="10">
        <f t="shared" si="2"/>
        <v>0</v>
      </c>
      <c r="G31" s="10">
        <f t="shared" si="3"/>
        <v>197284.81</v>
      </c>
    </row>
    <row r="32" spans="1:7" x14ac:dyDescent="0.25">
      <c r="A32" s="5" t="s">
        <v>30</v>
      </c>
      <c r="B32" s="8">
        <v>50102140</v>
      </c>
      <c r="C32" s="10">
        <f>208075+40511</f>
        <v>248586</v>
      </c>
      <c r="D32" s="10">
        <f>208075+40511</f>
        <v>248586</v>
      </c>
      <c r="E32" s="10">
        <v>163903</v>
      </c>
      <c r="F32" s="10">
        <f t="shared" si="2"/>
        <v>0</v>
      </c>
      <c r="G32" s="10">
        <f t="shared" si="3"/>
        <v>84683</v>
      </c>
    </row>
    <row r="33" spans="1:7" x14ac:dyDescent="0.25">
      <c r="A33" s="5" t="s">
        <v>31</v>
      </c>
      <c r="B33" s="8">
        <v>50102150</v>
      </c>
      <c r="C33" s="10">
        <f>15000+10000</f>
        <v>25000</v>
      </c>
      <c r="D33" s="10">
        <f>15000+10000</f>
        <v>25000</v>
      </c>
      <c r="E33" s="10">
        <v>15000</v>
      </c>
      <c r="F33" s="10">
        <f t="shared" si="2"/>
        <v>0</v>
      </c>
      <c r="G33" s="10">
        <f t="shared" si="3"/>
        <v>10000</v>
      </c>
    </row>
    <row r="34" spans="1:7" x14ac:dyDescent="0.25">
      <c r="A34" s="5" t="s">
        <v>32</v>
      </c>
      <c r="B34" s="8">
        <v>50102990</v>
      </c>
      <c r="C34" s="10">
        <v>35000</v>
      </c>
      <c r="D34" s="10">
        <v>35000</v>
      </c>
      <c r="E34" s="10">
        <v>21000</v>
      </c>
      <c r="F34" s="10">
        <f t="shared" si="2"/>
        <v>0</v>
      </c>
      <c r="G34" s="10">
        <f t="shared" si="3"/>
        <v>14000</v>
      </c>
    </row>
    <row r="35" spans="1:7" x14ac:dyDescent="0.25">
      <c r="A35" s="5" t="s">
        <v>33</v>
      </c>
      <c r="B35" s="8">
        <v>50102990</v>
      </c>
      <c r="C35" s="10">
        <v>194620</v>
      </c>
      <c r="D35" s="10">
        <v>194620</v>
      </c>
      <c r="E35" s="10">
        <v>157140</v>
      </c>
      <c r="F35" s="10">
        <f t="shared" si="2"/>
        <v>0</v>
      </c>
      <c r="G35" s="10">
        <f t="shared" si="3"/>
        <v>37480</v>
      </c>
    </row>
    <row r="36" spans="1:7" x14ac:dyDescent="0.25">
      <c r="A36" s="5" t="s">
        <v>34</v>
      </c>
      <c r="B36" s="8">
        <v>50103010</v>
      </c>
      <c r="C36" s="10">
        <f>332326+24307</f>
        <v>356633</v>
      </c>
      <c r="D36" s="10">
        <f>332326+24307</f>
        <v>356633</v>
      </c>
      <c r="E36" s="10">
        <v>236053.29</v>
      </c>
      <c r="F36" s="10">
        <f t="shared" si="2"/>
        <v>0</v>
      </c>
      <c r="G36" s="10">
        <f t="shared" si="3"/>
        <v>120579.70999999999</v>
      </c>
    </row>
    <row r="37" spans="1:7" x14ac:dyDescent="0.25">
      <c r="A37" s="5" t="s">
        <v>35</v>
      </c>
      <c r="B37" s="8">
        <v>50103020</v>
      </c>
      <c r="C37" s="10">
        <f>12000+2000</f>
        <v>14000</v>
      </c>
      <c r="D37" s="10">
        <f>12000+2000</f>
        <v>14000</v>
      </c>
      <c r="E37" s="10">
        <v>7800</v>
      </c>
      <c r="F37" s="10">
        <f t="shared" si="2"/>
        <v>0</v>
      </c>
      <c r="G37" s="10">
        <f t="shared" si="3"/>
        <v>6200</v>
      </c>
    </row>
    <row r="38" spans="1:7" x14ac:dyDescent="0.25">
      <c r="A38" s="5" t="s">
        <v>36</v>
      </c>
      <c r="B38" s="8">
        <v>50103030</v>
      </c>
      <c r="C38" s="10">
        <f>89430+5064</f>
        <v>94494</v>
      </c>
      <c r="D38" s="10">
        <f>89430+5064</f>
        <v>94494</v>
      </c>
      <c r="E38" s="10">
        <v>49177.87</v>
      </c>
      <c r="F38" s="10">
        <f t="shared" si="2"/>
        <v>0</v>
      </c>
      <c r="G38" s="10">
        <f t="shared" si="3"/>
        <v>45316.13</v>
      </c>
    </row>
    <row r="39" spans="1:7" x14ac:dyDescent="0.25">
      <c r="A39" s="5" t="s">
        <v>37</v>
      </c>
      <c r="B39" s="8">
        <v>50103040</v>
      </c>
      <c r="C39" s="10">
        <f>6000+1000</f>
        <v>7000</v>
      </c>
      <c r="D39" s="10">
        <f>6000+1000</f>
        <v>7000</v>
      </c>
      <c r="E39" s="10">
        <v>3900</v>
      </c>
      <c r="F39" s="10">
        <f t="shared" si="2"/>
        <v>0</v>
      </c>
      <c r="G39" s="10">
        <f t="shared" si="3"/>
        <v>3100</v>
      </c>
    </row>
    <row r="40" spans="1:7" x14ac:dyDescent="0.25">
      <c r="A40" s="5" t="s">
        <v>38</v>
      </c>
      <c r="B40" s="8">
        <v>50104990</v>
      </c>
      <c r="C40" s="10">
        <f>25000+10000</f>
        <v>35000</v>
      </c>
      <c r="D40" s="10">
        <f>25000+10000</f>
        <v>35000</v>
      </c>
      <c r="E40" s="10">
        <v>15000</v>
      </c>
      <c r="F40" s="10">
        <f t="shared" si="2"/>
        <v>0</v>
      </c>
      <c r="G40" s="10">
        <f t="shared" si="3"/>
        <v>20000</v>
      </c>
    </row>
    <row r="41" spans="1:7" x14ac:dyDescent="0.25">
      <c r="A41" s="5" t="s">
        <v>39</v>
      </c>
      <c r="B41" s="8">
        <v>50104990</v>
      </c>
      <c r="C41" s="10">
        <v>27996.97</v>
      </c>
      <c r="D41" s="10">
        <v>27996.97</v>
      </c>
      <c r="E41" s="10">
        <v>0</v>
      </c>
      <c r="F41" s="10">
        <f t="shared" si="2"/>
        <v>0</v>
      </c>
      <c r="G41" s="10">
        <f t="shared" si="3"/>
        <v>27996.97</v>
      </c>
    </row>
    <row r="42" spans="1:7" x14ac:dyDescent="0.25">
      <c r="A42" s="5" t="s">
        <v>39</v>
      </c>
      <c r="B42" s="8">
        <v>50104990</v>
      </c>
      <c r="C42" s="10">
        <v>8000000</v>
      </c>
      <c r="D42" s="10">
        <v>8000000</v>
      </c>
      <c r="E42" s="10">
        <v>7820000</v>
      </c>
      <c r="F42" s="10">
        <f t="shared" si="2"/>
        <v>0</v>
      </c>
      <c r="G42" s="10">
        <f t="shared" si="3"/>
        <v>180000</v>
      </c>
    </row>
    <row r="43" spans="1:7" x14ac:dyDescent="0.25">
      <c r="A43" s="5" t="s">
        <v>20</v>
      </c>
      <c r="B43" s="8">
        <v>50104990</v>
      </c>
      <c r="C43" s="10">
        <v>19233318</v>
      </c>
      <c r="D43" s="10">
        <v>7084612.1500000004</v>
      </c>
      <c r="E43" s="10">
        <v>2942004.85</v>
      </c>
      <c r="F43" s="10">
        <f t="shared" si="2"/>
        <v>12148705.85</v>
      </c>
      <c r="G43" s="10">
        <f t="shared" si="3"/>
        <v>4142607.3000000003</v>
      </c>
    </row>
    <row r="44" spans="1:7" x14ac:dyDescent="0.25">
      <c r="B44" s="8"/>
    </row>
    <row r="45" spans="1:7" s="6" customFormat="1" x14ac:dyDescent="0.25">
      <c r="A45" s="6" t="s">
        <v>40</v>
      </c>
      <c r="B45" s="9">
        <v>200</v>
      </c>
      <c r="C45" s="11">
        <v>8339459</v>
      </c>
      <c r="D45" s="11">
        <v>6161709</v>
      </c>
      <c r="E45" s="11">
        <v>4151533.45</v>
      </c>
      <c r="F45" s="11">
        <f t="shared" ref="F45:F65" si="4">C45-D45</f>
        <v>2177750</v>
      </c>
      <c r="G45" s="11">
        <f t="shared" ref="G45:G65" si="5">D45-E45</f>
        <v>2010175.5499999998</v>
      </c>
    </row>
    <row r="46" spans="1:7" s="6" customFormat="1" x14ac:dyDescent="0.25">
      <c r="A46" s="5" t="s">
        <v>41</v>
      </c>
      <c r="B46" s="8">
        <v>50201010</v>
      </c>
      <c r="C46" s="10">
        <f>20000+54000+125459</f>
        <v>199459</v>
      </c>
      <c r="D46" s="10">
        <f>20000+54000+125459</f>
        <v>199459</v>
      </c>
      <c r="E46" s="10">
        <f>5890+17380</f>
        <v>23270</v>
      </c>
      <c r="F46" s="10">
        <f t="shared" si="4"/>
        <v>0</v>
      </c>
      <c r="G46" s="10">
        <f t="shared" si="5"/>
        <v>176189</v>
      </c>
    </row>
    <row r="47" spans="1:7" x14ac:dyDescent="0.25">
      <c r="A47" s="5" t="s">
        <v>42</v>
      </c>
      <c r="B47" s="8">
        <v>50202010</v>
      </c>
      <c r="C47" s="10">
        <v>20000</v>
      </c>
      <c r="D47" s="10">
        <v>20000</v>
      </c>
      <c r="E47" s="10">
        <v>16400</v>
      </c>
      <c r="F47" s="10">
        <f t="shared" si="4"/>
        <v>0</v>
      </c>
      <c r="G47" s="10">
        <f t="shared" si="5"/>
        <v>3600</v>
      </c>
    </row>
    <row r="48" spans="1:7" x14ac:dyDescent="0.25">
      <c r="A48" s="5" t="s">
        <v>43</v>
      </c>
      <c r="B48" s="8">
        <v>50203010</v>
      </c>
      <c r="C48" s="10">
        <v>75000</v>
      </c>
      <c r="D48" s="10">
        <v>75000</v>
      </c>
      <c r="E48" s="10">
        <v>62102</v>
      </c>
      <c r="F48" s="10">
        <f t="shared" si="4"/>
        <v>0</v>
      </c>
      <c r="G48" s="10">
        <f t="shared" si="5"/>
        <v>12898</v>
      </c>
    </row>
    <row r="49" spans="1:7" x14ac:dyDescent="0.25">
      <c r="A49" s="5" t="s">
        <v>44</v>
      </c>
      <c r="B49" s="8">
        <v>50203070</v>
      </c>
      <c r="C49" s="10">
        <v>10000</v>
      </c>
      <c r="D49" s="10">
        <v>0</v>
      </c>
      <c r="E49" s="10">
        <v>0</v>
      </c>
      <c r="F49" s="10">
        <f t="shared" si="4"/>
        <v>10000</v>
      </c>
      <c r="G49" s="10">
        <f t="shared" si="5"/>
        <v>0</v>
      </c>
    </row>
    <row r="50" spans="1:7" x14ac:dyDescent="0.25">
      <c r="A50" s="5" t="s">
        <v>45</v>
      </c>
      <c r="B50" s="8">
        <v>50203080</v>
      </c>
      <c r="C50" s="10">
        <v>10000</v>
      </c>
      <c r="D50" s="10">
        <v>0</v>
      </c>
      <c r="E50" s="10">
        <v>0</v>
      </c>
      <c r="F50" s="10">
        <f t="shared" si="4"/>
        <v>10000</v>
      </c>
      <c r="G50" s="10">
        <f t="shared" si="5"/>
        <v>0</v>
      </c>
    </row>
    <row r="51" spans="1:7" x14ac:dyDescent="0.25">
      <c r="A51" s="5" t="s">
        <v>46</v>
      </c>
      <c r="B51" s="8">
        <v>50203090</v>
      </c>
      <c r="C51" s="10">
        <v>300000</v>
      </c>
      <c r="D51" s="10">
        <v>300000</v>
      </c>
      <c r="E51" s="10">
        <v>230942.19</v>
      </c>
      <c r="F51" s="10">
        <f t="shared" si="4"/>
        <v>0</v>
      </c>
      <c r="G51" s="10">
        <f t="shared" si="5"/>
        <v>69057.81</v>
      </c>
    </row>
    <row r="52" spans="1:7" x14ac:dyDescent="0.25">
      <c r="A52" s="5" t="s">
        <v>47</v>
      </c>
      <c r="B52" s="8">
        <v>50203210</v>
      </c>
      <c r="C52" s="10">
        <f>46000+180000</f>
        <v>226000</v>
      </c>
      <c r="D52" s="10">
        <f>46000+180000</f>
        <v>226000</v>
      </c>
      <c r="E52" s="10">
        <f>22998+143400</f>
        <v>166398</v>
      </c>
      <c r="F52" s="10">
        <f t="shared" si="4"/>
        <v>0</v>
      </c>
      <c r="G52" s="10">
        <f t="shared" si="5"/>
        <v>59602</v>
      </c>
    </row>
    <row r="53" spans="1:7" x14ac:dyDescent="0.25">
      <c r="A53" s="5" t="s">
        <v>48</v>
      </c>
      <c r="B53" s="8">
        <v>50203220</v>
      </c>
      <c r="C53" s="10">
        <f>250000+90000+4000</f>
        <v>344000</v>
      </c>
      <c r="D53" s="10">
        <f>250000+90000+4000</f>
        <v>344000</v>
      </c>
      <c r="E53" s="10">
        <v>243900</v>
      </c>
      <c r="F53" s="10">
        <f t="shared" si="4"/>
        <v>0</v>
      </c>
      <c r="G53" s="10">
        <f t="shared" si="5"/>
        <v>100100</v>
      </c>
    </row>
    <row r="54" spans="1:7" x14ac:dyDescent="0.25">
      <c r="A54" s="5" t="s">
        <v>49</v>
      </c>
      <c r="B54" s="8">
        <v>50203990</v>
      </c>
      <c r="C54" s="10">
        <v>75000</v>
      </c>
      <c r="D54" s="10">
        <v>75000</v>
      </c>
      <c r="E54" s="10">
        <v>54451.15</v>
      </c>
      <c r="F54" s="10">
        <f t="shared" si="4"/>
        <v>0</v>
      </c>
      <c r="G54" s="10">
        <f t="shared" si="5"/>
        <v>20548.849999999999</v>
      </c>
    </row>
    <row r="55" spans="1:7" x14ac:dyDescent="0.25">
      <c r="A55" s="5" t="s">
        <v>50</v>
      </c>
      <c r="B55" s="8">
        <v>50204010</v>
      </c>
      <c r="C55" s="10">
        <v>10000</v>
      </c>
      <c r="D55" s="10">
        <v>10000</v>
      </c>
      <c r="E55" s="10">
        <v>7260</v>
      </c>
      <c r="F55" s="10">
        <f t="shared" si="4"/>
        <v>0</v>
      </c>
      <c r="G55" s="10">
        <f t="shared" si="5"/>
        <v>2740</v>
      </c>
    </row>
    <row r="56" spans="1:7" x14ac:dyDescent="0.25">
      <c r="A56" s="5" t="s">
        <v>51</v>
      </c>
      <c r="B56" s="8">
        <v>50205010</v>
      </c>
      <c r="C56" s="10">
        <v>5000</v>
      </c>
      <c r="D56" s="10">
        <v>2500</v>
      </c>
      <c r="E56" s="10">
        <v>0</v>
      </c>
      <c r="F56" s="10">
        <f t="shared" si="4"/>
        <v>2500</v>
      </c>
      <c r="G56" s="10">
        <f t="shared" si="5"/>
        <v>2500</v>
      </c>
    </row>
    <row r="57" spans="1:7" x14ac:dyDescent="0.25">
      <c r="A57" s="5" t="s">
        <v>52</v>
      </c>
      <c r="B57" s="8">
        <v>50205020</v>
      </c>
      <c r="C57" s="10">
        <v>42000</v>
      </c>
      <c r="D57" s="10">
        <v>42000</v>
      </c>
      <c r="E57" s="10">
        <v>38500</v>
      </c>
      <c r="F57" s="10">
        <f t="shared" si="4"/>
        <v>0</v>
      </c>
      <c r="G57" s="10">
        <f t="shared" si="5"/>
        <v>3500</v>
      </c>
    </row>
    <row r="58" spans="1:7" x14ac:dyDescent="0.25">
      <c r="A58" s="5" t="s">
        <v>53</v>
      </c>
      <c r="B58" s="8">
        <v>50212990</v>
      </c>
      <c r="C58" s="10">
        <f>5523000+680000</f>
        <v>6203000</v>
      </c>
      <c r="D58" s="10">
        <f>3452750+680000</f>
        <v>4132750</v>
      </c>
      <c r="E58" s="10">
        <f>2069460.11+680000</f>
        <v>2749460.1100000003</v>
      </c>
      <c r="F58" s="10">
        <f t="shared" si="4"/>
        <v>2070250</v>
      </c>
      <c r="G58" s="10">
        <f t="shared" si="5"/>
        <v>1383289.8899999997</v>
      </c>
    </row>
    <row r="59" spans="1:7" x14ac:dyDescent="0.25">
      <c r="A59" s="5" t="s">
        <v>53</v>
      </c>
      <c r="B59" s="8">
        <v>50212990</v>
      </c>
      <c r="C59" s="10">
        <v>150000</v>
      </c>
      <c r="D59" s="10">
        <v>150000</v>
      </c>
      <c r="E59" s="10">
        <v>112000</v>
      </c>
      <c r="F59" s="10">
        <f t="shared" si="4"/>
        <v>0</v>
      </c>
      <c r="G59" s="10">
        <f t="shared" si="5"/>
        <v>38000</v>
      </c>
    </row>
    <row r="60" spans="1:7" x14ac:dyDescent="0.25">
      <c r="A60" s="5" t="s">
        <v>55</v>
      </c>
      <c r="B60" s="8">
        <v>50213060</v>
      </c>
      <c r="C60" s="10">
        <f>100000+20000</f>
        <v>120000</v>
      </c>
      <c r="D60" s="10">
        <f>100000+10000</f>
        <v>110000</v>
      </c>
      <c r="E60" s="10">
        <v>48200</v>
      </c>
      <c r="F60" s="10">
        <f t="shared" si="4"/>
        <v>10000</v>
      </c>
      <c r="G60" s="10">
        <f t="shared" si="5"/>
        <v>61800</v>
      </c>
    </row>
    <row r="61" spans="1:7" x14ac:dyDescent="0.25">
      <c r="A61" s="5" t="s">
        <v>56</v>
      </c>
      <c r="B61" s="8">
        <v>50216010</v>
      </c>
      <c r="C61" s="10">
        <v>90000</v>
      </c>
      <c r="D61" s="10">
        <v>20000</v>
      </c>
      <c r="E61" s="10">
        <v>0</v>
      </c>
      <c r="F61" s="10">
        <f t="shared" si="4"/>
        <v>70000</v>
      </c>
      <c r="G61" s="10">
        <f t="shared" si="5"/>
        <v>20000</v>
      </c>
    </row>
    <row r="62" spans="1:7" x14ac:dyDescent="0.25">
      <c r="A62" s="5" t="s">
        <v>57</v>
      </c>
      <c r="B62" s="8">
        <v>50216020</v>
      </c>
      <c r="C62" s="10">
        <v>5000</v>
      </c>
      <c r="D62" s="10">
        <v>5000</v>
      </c>
      <c r="E62" s="10">
        <v>2500</v>
      </c>
      <c r="F62" s="10">
        <f t="shared" si="4"/>
        <v>0</v>
      </c>
      <c r="G62" s="10">
        <f t="shared" si="5"/>
        <v>2500</v>
      </c>
    </row>
    <row r="63" spans="1:7" x14ac:dyDescent="0.25">
      <c r="A63" s="5" t="s">
        <v>58</v>
      </c>
      <c r="B63" s="8">
        <v>50299020</v>
      </c>
      <c r="C63" s="10">
        <v>10000</v>
      </c>
      <c r="D63" s="10">
        <v>10000</v>
      </c>
      <c r="E63" s="10">
        <v>0</v>
      </c>
      <c r="F63" s="10">
        <f t="shared" si="4"/>
        <v>0</v>
      </c>
      <c r="G63" s="10">
        <f t="shared" si="5"/>
        <v>10000</v>
      </c>
    </row>
    <row r="64" spans="1:7" x14ac:dyDescent="0.25">
      <c r="A64" s="5" t="s">
        <v>59</v>
      </c>
      <c r="B64" s="8">
        <v>50299030</v>
      </c>
      <c r="C64" s="10">
        <v>400000</v>
      </c>
      <c r="D64" s="10">
        <v>400000</v>
      </c>
      <c r="E64" s="10">
        <v>396150</v>
      </c>
      <c r="F64" s="10">
        <f t="shared" si="4"/>
        <v>0</v>
      </c>
      <c r="G64" s="10">
        <f t="shared" si="5"/>
        <v>3850</v>
      </c>
    </row>
    <row r="65" spans="1:7" x14ac:dyDescent="0.25">
      <c r="A65" s="5" t="s">
        <v>60</v>
      </c>
      <c r="B65" s="8">
        <v>50299990</v>
      </c>
      <c r="C65" s="10">
        <v>45000</v>
      </c>
      <c r="D65" s="10">
        <v>40000</v>
      </c>
      <c r="E65" s="10">
        <v>0</v>
      </c>
      <c r="F65" s="10">
        <f t="shared" si="4"/>
        <v>5000</v>
      </c>
      <c r="G65" s="10">
        <f t="shared" si="5"/>
        <v>40000</v>
      </c>
    </row>
    <row r="66" spans="1:7" x14ac:dyDescent="0.25">
      <c r="B66" s="8"/>
    </row>
    <row r="67" spans="1:7" s="6" customFormat="1" x14ac:dyDescent="0.25">
      <c r="A67" s="6" t="s">
        <v>61</v>
      </c>
      <c r="B67" s="9">
        <v>300</v>
      </c>
      <c r="C67" s="11">
        <v>416000</v>
      </c>
      <c r="D67" s="11">
        <v>216000</v>
      </c>
      <c r="E67" s="11">
        <v>0</v>
      </c>
      <c r="F67" s="11">
        <f t="shared" ref="F67:G69" si="6">C67-D67</f>
        <v>200000</v>
      </c>
      <c r="G67" s="11">
        <f t="shared" si="6"/>
        <v>216000</v>
      </c>
    </row>
    <row r="68" spans="1:7" x14ac:dyDescent="0.25">
      <c r="A68" s="5" t="s">
        <v>62</v>
      </c>
      <c r="B68" s="8">
        <v>10705030</v>
      </c>
      <c r="C68" s="10">
        <v>200000</v>
      </c>
      <c r="D68" s="10">
        <v>0</v>
      </c>
      <c r="E68" s="10">
        <v>0</v>
      </c>
      <c r="F68" s="10">
        <f t="shared" si="6"/>
        <v>200000</v>
      </c>
      <c r="G68" s="10">
        <f t="shared" si="6"/>
        <v>0</v>
      </c>
    </row>
    <row r="69" spans="1:7" x14ac:dyDescent="0.25">
      <c r="A69" s="5" t="s">
        <v>62</v>
      </c>
      <c r="B69" s="8">
        <v>10705030</v>
      </c>
      <c r="C69" s="10">
        <v>216000</v>
      </c>
      <c r="D69" s="10">
        <v>216000</v>
      </c>
      <c r="E69" s="10">
        <v>0</v>
      </c>
      <c r="F69" s="10">
        <f t="shared" si="6"/>
        <v>0</v>
      </c>
      <c r="G69" s="10">
        <f t="shared" si="6"/>
        <v>216000</v>
      </c>
    </row>
    <row r="70" spans="1:7" x14ac:dyDescent="0.25">
      <c r="B70" s="8"/>
    </row>
    <row r="71" spans="1:7" x14ac:dyDescent="0.25">
      <c r="A71" s="6" t="s">
        <v>63</v>
      </c>
      <c r="B71" s="9" t="s">
        <v>64</v>
      </c>
      <c r="C71" s="11">
        <v>310142540</v>
      </c>
      <c r="D71" s="11">
        <v>305220890</v>
      </c>
      <c r="E71" s="11">
        <v>277884537.41000003</v>
      </c>
      <c r="F71" s="11">
        <f t="shared" ref="F71:F99" si="7">C71-D71</f>
        <v>4921650</v>
      </c>
      <c r="G71" s="11">
        <f t="shared" ref="G71:G99" si="8">D71-E71</f>
        <v>27336352.589999974</v>
      </c>
    </row>
    <row r="72" spans="1:7" s="6" customFormat="1" x14ac:dyDescent="0.25">
      <c r="A72" s="6" t="s">
        <v>19</v>
      </c>
      <c r="B72" s="9">
        <v>100</v>
      </c>
      <c r="C72" s="11">
        <v>136152030</v>
      </c>
      <c r="D72" s="11">
        <v>136152030</v>
      </c>
      <c r="E72" s="11">
        <v>130905620.76000001</v>
      </c>
      <c r="F72" s="11">
        <f t="shared" si="7"/>
        <v>0</v>
      </c>
      <c r="G72" s="11">
        <f t="shared" si="8"/>
        <v>5246409.2399999946</v>
      </c>
    </row>
    <row r="73" spans="1:7" s="6" customFormat="1" x14ac:dyDescent="0.25">
      <c r="A73" s="5" t="s">
        <v>21</v>
      </c>
      <c r="B73" s="8">
        <v>50101010</v>
      </c>
      <c r="C73" s="10">
        <f>29504308+305195</f>
        <v>29809503</v>
      </c>
      <c r="D73" s="10">
        <f>29504308+305195</f>
        <v>29809503</v>
      </c>
      <c r="E73" s="10">
        <v>29101801.809999999</v>
      </c>
      <c r="F73" s="10">
        <f t="shared" si="7"/>
        <v>0</v>
      </c>
      <c r="G73" s="10">
        <f t="shared" si="8"/>
        <v>707701.19000000134</v>
      </c>
    </row>
    <row r="74" spans="1:7" x14ac:dyDescent="0.25">
      <c r="A74" s="5" t="s">
        <v>69</v>
      </c>
      <c r="B74" s="8">
        <v>50101010</v>
      </c>
      <c r="C74" s="10">
        <v>2000</v>
      </c>
      <c r="D74" s="10">
        <v>2000</v>
      </c>
      <c r="E74" s="10">
        <v>1997.8</v>
      </c>
      <c r="F74" s="10">
        <f t="shared" si="7"/>
        <v>0</v>
      </c>
      <c r="G74" s="10">
        <f t="shared" si="8"/>
        <v>2.2000000000000455</v>
      </c>
    </row>
    <row r="75" spans="1:7" x14ac:dyDescent="0.25">
      <c r="A75" s="5" t="s">
        <v>65</v>
      </c>
      <c r="B75" s="8">
        <v>50101020</v>
      </c>
      <c r="C75" s="10">
        <f>51895534+18165000</f>
        <v>70060534</v>
      </c>
      <c r="D75" s="10">
        <f>51895534+18165000</f>
        <v>70060534</v>
      </c>
      <c r="E75" s="10">
        <f>51894759.26+18101835.84</f>
        <v>69996595.099999994</v>
      </c>
      <c r="F75" s="10">
        <f t="shared" si="7"/>
        <v>0</v>
      </c>
      <c r="G75" s="10">
        <f t="shared" si="8"/>
        <v>63938.90000000596</v>
      </c>
    </row>
    <row r="76" spans="1:7" x14ac:dyDescent="0.25">
      <c r="A76" s="5" t="s">
        <v>23</v>
      </c>
      <c r="B76" s="8">
        <v>50102010</v>
      </c>
      <c r="C76" s="10">
        <f>1484000+40000</f>
        <v>1524000</v>
      </c>
      <c r="D76" s="10">
        <f>1484000+40000</f>
        <v>1524000</v>
      </c>
      <c r="E76" s="10">
        <v>1439500</v>
      </c>
      <c r="F76" s="10">
        <f t="shared" si="7"/>
        <v>0</v>
      </c>
      <c r="G76" s="10">
        <f t="shared" si="8"/>
        <v>84500</v>
      </c>
    </row>
    <row r="77" spans="1:7" x14ac:dyDescent="0.25">
      <c r="A77" s="5" t="s">
        <v>24</v>
      </c>
      <c r="B77" s="8">
        <v>50102020</v>
      </c>
      <c r="C77" s="10">
        <v>72000</v>
      </c>
      <c r="D77" s="10">
        <v>72000</v>
      </c>
      <c r="E77" s="10">
        <v>70500</v>
      </c>
      <c r="F77" s="10">
        <f t="shared" si="7"/>
        <v>0</v>
      </c>
      <c r="G77" s="10">
        <f t="shared" si="8"/>
        <v>1500</v>
      </c>
    </row>
    <row r="78" spans="1:7" x14ac:dyDescent="0.25">
      <c r="A78" s="5" t="s">
        <v>25</v>
      </c>
      <c r="B78" s="8">
        <v>50102030</v>
      </c>
      <c r="C78" s="10">
        <v>32000</v>
      </c>
      <c r="D78" s="10">
        <v>32000</v>
      </c>
      <c r="E78" s="10">
        <v>2375</v>
      </c>
      <c r="F78" s="10">
        <f t="shared" si="7"/>
        <v>0</v>
      </c>
      <c r="G78" s="10">
        <f t="shared" si="8"/>
        <v>29625</v>
      </c>
    </row>
    <row r="79" spans="1:7" x14ac:dyDescent="0.25">
      <c r="A79" s="5" t="s">
        <v>26</v>
      </c>
      <c r="B79" s="8">
        <v>50102040</v>
      </c>
      <c r="C79" s="10">
        <v>437000</v>
      </c>
      <c r="D79" s="10">
        <v>437000</v>
      </c>
      <c r="E79" s="10">
        <v>420000</v>
      </c>
      <c r="F79" s="10">
        <f t="shared" si="7"/>
        <v>0</v>
      </c>
      <c r="G79" s="10">
        <f t="shared" si="8"/>
        <v>17000</v>
      </c>
    </row>
    <row r="80" spans="1:7" x14ac:dyDescent="0.25">
      <c r="A80" s="5" t="s">
        <v>27</v>
      </c>
      <c r="B80" s="8">
        <v>50102050</v>
      </c>
      <c r="C80" s="10">
        <f>1188000+30000</f>
        <v>1218000</v>
      </c>
      <c r="D80" s="10">
        <f>1188000+30000</f>
        <v>1218000</v>
      </c>
      <c r="E80" s="10">
        <v>732100</v>
      </c>
      <c r="F80" s="10">
        <f t="shared" si="7"/>
        <v>0</v>
      </c>
      <c r="G80" s="10">
        <f t="shared" si="8"/>
        <v>485900</v>
      </c>
    </row>
    <row r="81" spans="1:7" x14ac:dyDescent="0.25">
      <c r="A81" s="5" t="s">
        <v>28</v>
      </c>
      <c r="B81" s="8">
        <v>50102060</v>
      </c>
      <c r="C81" s="10">
        <f>118800+3000</f>
        <v>121800</v>
      </c>
      <c r="D81" s="10">
        <f>118800+3000</f>
        <v>121800</v>
      </c>
      <c r="E81" s="10">
        <v>89413.95</v>
      </c>
      <c r="F81" s="10">
        <f t="shared" si="7"/>
        <v>0</v>
      </c>
      <c r="G81" s="10">
        <f t="shared" si="8"/>
        <v>32386.050000000003</v>
      </c>
    </row>
    <row r="82" spans="1:7" x14ac:dyDescent="0.25">
      <c r="A82" s="5" t="s">
        <v>29</v>
      </c>
      <c r="B82" s="8">
        <v>50102110</v>
      </c>
      <c r="C82" s="10">
        <f>6958070+201299</f>
        <v>7159369</v>
      </c>
      <c r="D82" s="10">
        <f>6958070+201299</f>
        <v>7159369</v>
      </c>
      <c r="E82" s="10">
        <v>6780686.2300000004</v>
      </c>
      <c r="F82" s="10">
        <f t="shared" si="7"/>
        <v>0</v>
      </c>
      <c r="G82" s="10">
        <f t="shared" si="8"/>
        <v>378682.76999999955</v>
      </c>
    </row>
    <row r="83" spans="1:7" x14ac:dyDescent="0.25">
      <c r="A83" s="5" t="s">
        <v>70</v>
      </c>
      <c r="B83" s="8">
        <v>50102110</v>
      </c>
      <c r="C83" s="10">
        <v>500</v>
      </c>
      <c r="D83" s="10">
        <v>500</v>
      </c>
      <c r="E83" s="10">
        <v>499.46</v>
      </c>
      <c r="F83" s="10">
        <f t="shared" si="7"/>
        <v>0</v>
      </c>
      <c r="G83" s="10">
        <f t="shared" si="8"/>
        <v>0.54000000000002046</v>
      </c>
    </row>
    <row r="84" spans="1:7" x14ac:dyDescent="0.25">
      <c r="A84" s="5" t="s">
        <v>66</v>
      </c>
      <c r="B84" s="8">
        <v>50102120</v>
      </c>
      <c r="C84" s="10">
        <v>110000</v>
      </c>
      <c r="D84" s="10">
        <v>110000</v>
      </c>
      <c r="E84" s="10">
        <v>110000</v>
      </c>
      <c r="F84" s="10">
        <f t="shared" si="7"/>
        <v>0</v>
      </c>
      <c r="G84" s="10">
        <f t="shared" si="8"/>
        <v>0</v>
      </c>
    </row>
    <row r="85" spans="1:7" x14ac:dyDescent="0.25">
      <c r="A85" s="5" t="s">
        <v>67</v>
      </c>
      <c r="B85" s="8">
        <v>50102130</v>
      </c>
      <c r="C85" s="10">
        <f>1600000+450000</f>
        <v>2050000</v>
      </c>
      <c r="D85" s="10">
        <f>1600000+450000</f>
        <v>2050000</v>
      </c>
      <c r="E85" s="10">
        <f>1599792.28+437578</f>
        <v>2037370.28</v>
      </c>
      <c r="F85" s="10">
        <f t="shared" si="7"/>
        <v>0</v>
      </c>
      <c r="G85" s="10">
        <f t="shared" si="8"/>
        <v>12629.719999999972</v>
      </c>
    </row>
    <row r="86" spans="1:7" x14ac:dyDescent="0.25">
      <c r="A86" s="5" t="s">
        <v>68</v>
      </c>
      <c r="B86" s="8">
        <v>50102130</v>
      </c>
      <c r="C86" s="10">
        <f>1258000+250000</f>
        <v>1508000</v>
      </c>
      <c r="D86" s="10">
        <f>1258000+250000</f>
        <v>1508000</v>
      </c>
      <c r="E86" s="10">
        <f>1257641.15+249847.68</f>
        <v>1507488.8299999998</v>
      </c>
      <c r="F86" s="10">
        <f t="shared" si="7"/>
        <v>0</v>
      </c>
      <c r="G86" s="10">
        <f t="shared" si="8"/>
        <v>511.17000000015832</v>
      </c>
    </row>
    <row r="87" spans="1:7" x14ac:dyDescent="0.25">
      <c r="A87" s="5" t="s">
        <v>30</v>
      </c>
      <c r="B87" s="8">
        <v>50102140</v>
      </c>
      <c r="C87" s="10">
        <f>2525094+111039</f>
        <v>2636133</v>
      </c>
      <c r="D87" s="10">
        <f>2525094+111039</f>
        <v>2636133</v>
      </c>
      <c r="E87" s="10">
        <v>2502958</v>
      </c>
      <c r="F87" s="10">
        <f t="shared" si="7"/>
        <v>0</v>
      </c>
      <c r="G87" s="10">
        <f t="shared" si="8"/>
        <v>133175</v>
      </c>
    </row>
    <row r="88" spans="1:7" x14ac:dyDescent="0.25">
      <c r="A88" s="5" t="s">
        <v>72</v>
      </c>
      <c r="B88" s="8">
        <v>50102140</v>
      </c>
      <c r="C88" s="10">
        <v>800</v>
      </c>
      <c r="D88" s="10">
        <v>800</v>
      </c>
      <c r="E88" s="10">
        <v>794</v>
      </c>
      <c r="F88" s="10">
        <f t="shared" si="7"/>
        <v>0</v>
      </c>
      <c r="G88" s="10">
        <f t="shared" si="8"/>
        <v>6</v>
      </c>
    </row>
    <row r="89" spans="1:7" x14ac:dyDescent="0.25">
      <c r="A89" s="5" t="s">
        <v>31</v>
      </c>
      <c r="B89" s="8">
        <v>50102150</v>
      </c>
      <c r="C89" s="10">
        <f>315000+20000</f>
        <v>335000</v>
      </c>
      <c r="D89" s="10">
        <f>315000+20000</f>
        <v>335000</v>
      </c>
      <c r="E89" s="10">
        <v>300000</v>
      </c>
      <c r="F89" s="10">
        <f t="shared" si="7"/>
        <v>0</v>
      </c>
      <c r="G89" s="10">
        <f t="shared" si="8"/>
        <v>35000</v>
      </c>
    </row>
    <row r="90" spans="1:7" x14ac:dyDescent="0.25">
      <c r="A90" s="5" t="s">
        <v>32</v>
      </c>
      <c r="B90" s="8">
        <v>50102990</v>
      </c>
      <c r="C90" s="10">
        <v>462000</v>
      </c>
      <c r="D90" s="10">
        <v>462000</v>
      </c>
      <c r="E90" s="10">
        <v>420000</v>
      </c>
      <c r="F90" s="10">
        <f t="shared" si="7"/>
        <v>0</v>
      </c>
      <c r="G90" s="10">
        <f t="shared" si="8"/>
        <v>42000</v>
      </c>
    </row>
    <row r="91" spans="1:7" x14ac:dyDescent="0.25">
      <c r="A91" s="5" t="s">
        <v>33</v>
      </c>
      <c r="B91" s="8">
        <v>50102990</v>
      </c>
      <c r="C91" s="10">
        <v>2439834</v>
      </c>
      <c r="D91" s="10">
        <v>2439834</v>
      </c>
      <c r="E91" s="10">
        <v>2392839</v>
      </c>
      <c r="F91" s="10">
        <f t="shared" si="7"/>
        <v>0</v>
      </c>
      <c r="G91" s="10">
        <f t="shared" si="8"/>
        <v>46995</v>
      </c>
    </row>
    <row r="92" spans="1:7" x14ac:dyDescent="0.25">
      <c r="A92" s="5" t="s">
        <v>34</v>
      </c>
      <c r="B92" s="8">
        <v>50103010</v>
      </c>
      <c r="C92" s="10">
        <f>3710517+96624</f>
        <v>3807141</v>
      </c>
      <c r="D92" s="10">
        <f>3710517+96624</f>
        <v>3807141</v>
      </c>
      <c r="E92" s="10">
        <v>3508138.96</v>
      </c>
      <c r="F92" s="10">
        <f t="shared" si="7"/>
        <v>0</v>
      </c>
      <c r="G92" s="10">
        <f t="shared" si="8"/>
        <v>299002.04000000004</v>
      </c>
    </row>
    <row r="93" spans="1:7" x14ac:dyDescent="0.25">
      <c r="A93" s="5" t="s">
        <v>73</v>
      </c>
      <c r="B93" s="8">
        <v>50103010</v>
      </c>
      <c r="C93" s="10">
        <v>240</v>
      </c>
      <c r="D93" s="10">
        <v>240</v>
      </c>
      <c r="E93" s="10">
        <v>239.74</v>
      </c>
      <c r="F93" s="10">
        <f t="shared" si="7"/>
        <v>0</v>
      </c>
      <c r="G93" s="10">
        <f t="shared" si="8"/>
        <v>0.25999999999999091</v>
      </c>
    </row>
    <row r="94" spans="1:7" x14ac:dyDescent="0.25">
      <c r="A94" s="5" t="s">
        <v>35</v>
      </c>
      <c r="B94" s="8">
        <v>50103020</v>
      </c>
      <c r="C94" s="10">
        <f>158400+4000</f>
        <v>162400</v>
      </c>
      <c r="D94" s="10">
        <f>158400+4000</f>
        <v>162400</v>
      </c>
      <c r="E94" s="10">
        <v>144000</v>
      </c>
      <c r="F94" s="10">
        <f t="shared" si="7"/>
        <v>0</v>
      </c>
      <c r="G94" s="10">
        <f t="shared" si="8"/>
        <v>18400</v>
      </c>
    </row>
    <row r="95" spans="1:7" x14ac:dyDescent="0.25">
      <c r="A95" s="5" t="s">
        <v>36</v>
      </c>
      <c r="B95" s="8">
        <v>50103030</v>
      </c>
      <c r="C95" s="10">
        <f>793223+20130</f>
        <v>813353</v>
      </c>
      <c r="D95" s="10">
        <f>793223+20130</f>
        <v>813353</v>
      </c>
      <c r="E95" s="10">
        <v>730231.23</v>
      </c>
      <c r="F95" s="10">
        <f t="shared" si="7"/>
        <v>0</v>
      </c>
      <c r="G95" s="10">
        <f t="shared" si="8"/>
        <v>83121.770000000019</v>
      </c>
    </row>
    <row r="96" spans="1:7" x14ac:dyDescent="0.25">
      <c r="A96" s="5" t="s">
        <v>37</v>
      </c>
      <c r="B96" s="8">
        <v>50103040</v>
      </c>
      <c r="C96" s="10">
        <f>79200+2000</f>
        <v>81200</v>
      </c>
      <c r="D96" s="10">
        <f>79200+2000</f>
        <v>81200</v>
      </c>
      <c r="E96" s="10">
        <v>72000</v>
      </c>
      <c r="F96" s="10">
        <f t="shared" si="7"/>
        <v>0</v>
      </c>
      <c r="G96" s="10">
        <f t="shared" si="8"/>
        <v>9200</v>
      </c>
    </row>
    <row r="97" spans="1:7" x14ac:dyDescent="0.25">
      <c r="A97" s="5" t="s">
        <v>38</v>
      </c>
      <c r="B97" s="8">
        <v>50104990</v>
      </c>
      <c r="C97" s="10">
        <f>330000+20000</f>
        <v>350000</v>
      </c>
      <c r="D97" s="10">
        <f>330000+20000</f>
        <v>350000</v>
      </c>
      <c r="E97" s="10">
        <v>305000</v>
      </c>
      <c r="F97" s="10">
        <f t="shared" si="7"/>
        <v>0</v>
      </c>
      <c r="G97" s="10">
        <f t="shared" si="8"/>
        <v>45000</v>
      </c>
    </row>
    <row r="98" spans="1:7" x14ac:dyDescent="0.25">
      <c r="A98" s="5" t="s">
        <v>39</v>
      </c>
      <c r="B98" s="8">
        <v>50104990</v>
      </c>
      <c r="C98" s="10">
        <v>296713</v>
      </c>
      <c r="D98" s="10">
        <v>296713</v>
      </c>
      <c r="E98" s="10">
        <v>0</v>
      </c>
      <c r="F98" s="10">
        <f t="shared" si="7"/>
        <v>0</v>
      </c>
      <c r="G98" s="10">
        <f t="shared" si="8"/>
        <v>296713</v>
      </c>
    </row>
    <row r="99" spans="1:7" x14ac:dyDescent="0.25">
      <c r="A99" s="5" t="s">
        <v>20</v>
      </c>
      <c r="B99" s="8">
        <v>50104990</v>
      </c>
      <c r="C99" s="10">
        <v>10662510</v>
      </c>
      <c r="D99" s="10">
        <v>10662510</v>
      </c>
      <c r="E99" s="10">
        <v>8239091.3700000001</v>
      </c>
      <c r="F99" s="10">
        <f t="shared" si="7"/>
        <v>0</v>
      </c>
      <c r="G99" s="10">
        <f t="shared" si="8"/>
        <v>2423418.63</v>
      </c>
    </row>
    <row r="100" spans="1:7" x14ac:dyDescent="0.25">
      <c r="B100" s="8"/>
    </row>
    <row r="101" spans="1:7" s="6" customFormat="1" x14ac:dyDescent="0.25">
      <c r="A101" s="6" t="s">
        <v>40</v>
      </c>
      <c r="B101" s="9">
        <v>200</v>
      </c>
      <c r="C101" s="11">
        <v>158520510</v>
      </c>
      <c r="D101" s="11">
        <v>157968860</v>
      </c>
      <c r="E101" s="11">
        <v>146978916.65000001</v>
      </c>
      <c r="F101" s="11">
        <f t="shared" ref="F101:F133" si="9">C101-D101</f>
        <v>551650</v>
      </c>
      <c r="G101" s="11">
        <f t="shared" ref="G101:G133" si="10">D101-E101</f>
        <v>10989943.349999994</v>
      </c>
    </row>
    <row r="102" spans="1:7" s="6" customFormat="1" x14ac:dyDescent="0.25">
      <c r="A102" s="6" t="s">
        <v>114</v>
      </c>
      <c r="B102" s="9"/>
      <c r="C102" s="11">
        <f>SUM(C103:C133)</f>
        <v>158250510</v>
      </c>
      <c r="D102" s="11">
        <f t="shared" ref="D102:E102" si="11">SUM(D103:D133)</f>
        <v>157968860</v>
      </c>
      <c r="E102" s="11">
        <f t="shared" si="11"/>
        <v>146978916.65000001</v>
      </c>
      <c r="F102" s="11">
        <f t="shared" si="9"/>
        <v>281650</v>
      </c>
      <c r="G102" s="11">
        <f t="shared" si="10"/>
        <v>10989943.349999994</v>
      </c>
    </row>
    <row r="103" spans="1:7" s="6" customFormat="1" x14ac:dyDescent="0.25">
      <c r="A103" s="5" t="s">
        <v>41</v>
      </c>
      <c r="B103" s="8">
        <v>50201010</v>
      </c>
      <c r="C103" s="10">
        <v>200000</v>
      </c>
      <c r="D103" s="10">
        <v>200000</v>
      </c>
      <c r="E103" s="10">
        <v>154755</v>
      </c>
      <c r="F103" s="10">
        <f t="shared" si="9"/>
        <v>0</v>
      </c>
      <c r="G103" s="10">
        <f t="shared" si="10"/>
        <v>45245</v>
      </c>
    </row>
    <row r="104" spans="1:7" x14ac:dyDescent="0.25">
      <c r="A104" s="5" t="s">
        <v>42</v>
      </c>
      <c r="B104" s="8">
        <v>50202010</v>
      </c>
      <c r="C104" s="10">
        <v>715000</v>
      </c>
      <c r="D104" s="10">
        <v>715000</v>
      </c>
      <c r="E104" s="10">
        <v>668665</v>
      </c>
      <c r="F104" s="10">
        <f t="shared" si="9"/>
        <v>0</v>
      </c>
      <c r="G104" s="10">
        <f t="shared" si="10"/>
        <v>46335</v>
      </c>
    </row>
    <row r="105" spans="1:7" x14ac:dyDescent="0.25">
      <c r="A105" s="5" t="s">
        <v>43</v>
      </c>
      <c r="B105" s="8">
        <v>50203010</v>
      </c>
      <c r="C105" s="10">
        <v>1200000</v>
      </c>
      <c r="D105" s="10">
        <v>1200000</v>
      </c>
      <c r="E105" s="10">
        <v>1153046</v>
      </c>
      <c r="F105" s="10">
        <f t="shared" si="9"/>
        <v>0</v>
      </c>
      <c r="G105" s="10">
        <f t="shared" si="10"/>
        <v>46954</v>
      </c>
    </row>
    <row r="106" spans="1:7" x14ac:dyDescent="0.25">
      <c r="A106" s="5" t="s">
        <v>74</v>
      </c>
      <c r="B106" s="8">
        <v>50203020</v>
      </c>
      <c r="C106" s="10">
        <v>140000</v>
      </c>
      <c r="D106" s="10">
        <v>114600</v>
      </c>
      <c r="E106" s="10">
        <v>45912.5</v>
      </c>
      <c r="F106" s="10">
        <f t="shared" si="9"/>
        <v>25400</v>
      </c>
      <c r="G106" s="10">
        <f t="shared" si="10"/>
        <v>68687.5</v>
      </c>
    </row>
    <row r="107" spans="1:7" x14ac:dyDescent="0.25">
      <c r="A107" s="5" t="s">
        <v>75</v>
      </c>
      <c r="B107" s="8">
        <v>50203050</v>
      </c>
      <c r="C107" s="10">
        <v>8300000</v>
      </c>
      <c r="D107" s="10">
        <v>8300000</v>
      </c>
      <c r="E107" s="10">
        <v>7386757.25</v>
      </c>
      <c r="F107" s="10">
        <f t="shared" si="9"/>
        <v>0</v>
      </c>
      <c r="G107" s="10">
        <f t="shared" si="10"/>
        <v>913242.75</v>
      </c>
    </row>
    <row r="108" spans="1:7" x14ac:dyDescent="0.25">
      <c r="A108" s="5" t="s">
        <v>44</v>
      </c>
      <c r="B108" s="8">
        <v>50203070</v>
      </c>
      <c r="C108" s="10">
        <v>4800000</v>
      </c>
      <c r="D108" s="10">
        <v>4800000</v>
      </c>
      <c r="E108" s="10">
        <v>4487328.55</v>
      </c>
      <c r="F108" s="10">
        <f t="shared" si="9"/>
        <v>0</v>
      </c>
      <c r="G108" s="10">
        <f t="shared" si="10"/>
        <v>312671.45000000019</v>
      </c>
    </row>
    <row r="109" spans="1:7" x14ac:dyDescent="0.25">
      <c r="A109" s="5" t="s">
        <v>45</v>
      </c>
      <c r="B109" s="8">
        <v>50203080</v>
      </c>
      <c r="C109" s="10">
        <f>22280000+5600000</f>
        <v>27880000</v>
      </c>
      <c r="D109" s="10">
        <f>22280000+5600000</f>
        <v>27880000</v>
      </c>
      <c r="E109" s="10">
        <f>22026639.05+5075896</f>
        <v>27102535.050000001</v>
      </c>
      <c r="F109" s="10">
        <f t="shared" si="9"/>
        <v>0</v>
      </c>
      <c r="G109" s="10">
        <f t="shared" si="10"/>
        <v>777464.94999999925</v>
      </c>
    </row>
    <row r="110" spans="1:7" x14ac:dyDescent="0.25">
      <c r="A110" s="5" t="s">
        <v>46</v>
      </c>
      <c r="B110" s="8">
        <v>50203090</v>
      </c>
      <c r="C110" s="10">
        <f>2900000+150000</f>
        <v>3050000</v>
      </c>
      <c r="D110" s="10">
        <f>2900000+150000</f>
        <v>3050000</v>
      </c>
      <c r="E110" s="10">
        <v>2843184.19</v>
      </c>
      <c r="F110" s="10">
        <f t="shared" si="9"/>
        <v>0</v>
      </c>
      <c r="G110" s="10">
        <f t="shared" si="10"/>
        <v>206815.81000000006</v>
      </c>
    </row>
    <row r="111" spans="1:7" x14ac:dyDescent="0.25">
      <c r="A111" s="5" t="s">
        <v>47</v>
      </c>
      <c r="B111" s="8">
        <v>50203210</v>
      </c>
      <c r="C111" s="10">
        <f>1200000+6150000</f>
        <v>7350000</v>
      </c>
      <c r="D111" s="10">
        <f>1200000+6150000</f>
        <v>7350000</v>
      </c>
      <c r="E111" s="10">
        <f>963300+4898028.75</f>
        <v>5861328.75</v>
      </c>
      <c r="F111" s="10">
        <f t="shared" si="9"/>
        <v>0</v>
      </c>
      <c r="G111" s="10">
        <f t="shared" si="10"/>
        <v>1488671.25</v>
      </c>
    </row>
    <row r="112" spans="1:7" x14ac:dyDescent="0.25">
      <c r="A112" s="5" t="s">
        <v>48</v>
      </c>
      <c r="B112" s="8">
        <v>50203220</v>
      </c>
      <c r="C112" s="10">
        <v>450000</v>
      </c>
      <c r="D112" s="10">
        <v>450000</v>
      </c>
      <c r="E112" s="10">
        <v>0</v>
      </c>
      <c r="F112" s="10">
        <f t="shared" si="9"/>
        <v>0</v>
      </c>
      <c r="G112" s="10">
        <f t="shared" si="10"/>
        <v>450000</v>
      </c>
    </row>
    <row r="113" spans="1:7" x14ac:dyDescent="0.25">
      <c r="A113" s="5" t="s">
        <v>49</v>
      </c>
      <c r="B113" s="8">
        <v>50203990</v>
      </c>
      <c r="C113" s="10">
        <v>1000000</v>
      </c>
      <c r="D113" s="10">
        <v>1000000</v>
      </c>
      <c r="E113" s="10">
        <v>999141</v>
      </c>
      <c r="F113" s="10">
        <f t="shared" si="9"/>
        <v>0</v>
      </c>
      <c r="G113" s="10">
        <f t="shared" si="10"/>
        <v>859</v>
      </c>
    </row>
    <row r="114" spans="1:7" x14ac:dyDescent="0.25">
      <c r="A114" s="5" t="s">
        <v>76</v>
      </c>
      <c r="B114" s="8">
        <v>50203990</v>
      </c>
      <c r="C114" s="10">
        <v>270000</v>
      </c>
      <c r="D114" s="10">
        <v>270000</v>
      </c>
      <c r="E114" s="10">
        <v>239366</v>
      </c>
      <c r="F114" s="10">
        <f t="shared" si="9"/>
        <v>0</v>
      </c>
      <c r="G114" s="10">
        <f t="shared" si="10"/>
        <v>30634</v>
      </c>
    </row>
    <row r="115" spans="1:7" x14ac:dyDescent="0.25">
      <c r="A115" s="5" t="s">
        <v>77</v>
      </c>
      <c r="B115" s="8">
        <v>50204020</v>
      </c>
      <c r="C115" s="10">
        <f>6600000+970000</f>
        <v>7570000</v>
      </c>
      <c r="D115" s="10">
        <f>6600000+970000</f>
        <v>7570000</v>
      </c>
      <c r="E115" s="10">
        <f>6554327.2+760856.62</f>
        <v>7315183.8200000003</v>
      </c>
      <c r="F115" s="10">
        <f t="shared" si="9"/>
        <v>0</v>
      </c>
      <c r="G115" s="10">
        <f t="shared" si="10"/>
        <v>254816.1799999997</v>
      </c>
    </row>
    <row r="116" spans="1:7" x14ac:dyDescent="0.25">
      <c r="A116" s="5" t="s">
        <v>52</v>
      </c>
      <c r="B116" s="8">
        <v>50205020</v>
      </c>
      <c r="C116" s="10">
        <v>30000</v>
      </c>
      <c r="D116" s="10">
        <v>30000</v>
      </c>
      <c r="E116" s="10">
        <v>30000</v>
      </c>
      <c r="F116" s="10">
        <f t="shared" si="9"/>
        <v>0</v>
      </c>
      <c r="G116" s="10">
        <f t="shared" si="10"/>
        <v>0</v>
      </c>
    </row>
    <row r="117" spans="1:7" x14ac:dyDescent="0.25">
      <c r="A117" s="5" t="s">
        <v>78</v>
      </c>
      <c r="B117" s="8">
        <v>50205030</v>
      </c>
      <c r="C117" s="10">
        <v>90000</v>
      </c>
      <c r="D117" s="10">
        <v>90000</v>
      </c>
      <c r="E117" s="10">
        <v>17997</v>
      </c>
      <c r="F117" s="10">
        <f t="shared" si="9"/>
        <v>0</v>
      </c>
      <c r="G117" s="10">
        <f t="shared" si="10"/>
        <v>72003</v>
      </c>
    </row>
    <row r="118" spans="1:7" x14ac:dyDescent="0.25">
      <c r="A118" s="5" t="s">
        <v>79</v>
      </c>
      <c r="B118" s="8">
        <v>50205040</v>
      </c>
      <c r="C118" s="10">
        <v>10000</v>
      </c>
      <c r="D118" s="10">
        <v>10000</v>
      </c>
      <c r="E118" s="10">
        <v>0</v>
      </c>
      <c r="F118" s="10">
        <f t="shared" si="9"/>
        <v>0</v>
      </c>
      <c r="G118" s="10">
        <f t="shared" si="10"/>
        <v>10000</v>
      </c>
    </row>
    <row r="119" spans="1:7" x14ac:dyDescent="0.25">
      <c r="A119" s="5" t="s">
        <v>87</v>
      </c>
      <c r="B119" s="8">
        <v>50212010</v>
      </c>
      <c r="C119" s="10">
        <v>6000000</v>
      </c>
      <c r="D119" s="10">
        <v>6000000</v>
      </c>
      <c r="E119" s="10">
        <v>4970000</v>
      </c>
      <c r="F119" s="10">
        <f t="shared" si="9"/>
        <v>0</v>
      </c>
      <c r="G119" s="10">
        <f t="shared" si="10"/>
        <v>1030000</v>
      </c>
    </row>
    <row r="120" spans="1:7" x14ac:dyDescent="0.25">
      <c r="A120" s="5" t="s">
        <v>53</v>
      </c>
      <c r="B120" s="8">
        <v>50212990</v>
      </c>
      <c r="C120" s="10">
        <v>77572408</v>
      </c>
      <c r="D120" s="10">
        <v>77522408</v>
      </c>
      <c r="E120" s="10">
        <v>76140370.069999993</v>
      </c>
      <c r="F120" s="10">
        <f t="shared" si="9"/>
        <v>50000</v>
      </c>
      <c r="G120" s="10">
        <f t="shared" si="10"/>
        <v>1382037.9300000072</v>
      </c>
    </row>
    <row r="121" spans="1:7" x14ac:dyDescent="0.25">
      <c r="A121" s="5" t="s">
        <v>53</v>
      </c>
      <c r="B121" s="8">
        <v>50212990</v>
      </c>
      <c r="C121" s="10">
        <v>7000000</v>
      </c>
      <c r="D121" s="10">
        <v>7000000</v>
      </c>
      <c r="E121" s="10">
        <v>4860000</v>
      </c>
      <c r="F121" s="10">
        <f t="shared" si="9"/>
        <v>0</v>
      </c>
      <c r="G121" s="10">
        <f t="shared" si="10"/>
        <v>2140000</v>
      </c>
    </row>
    <row r="122" spans="1:7" x14ac:dyDescent="0.25">
      <c r="A122" s="5" t="s">
        <v>80</v>
      </c>
      <c r="B122" s="8">
        <v>50213040</v>
      </c>
      <c r="C122" s="10">
        <f>1000000+100000+295000</f>
        <v>1395000</v>
      </c>
      <c r="D122" s="10">
        <f>1000000+100000+295000</f>
        <v>1395000</v>
      </c>
      <c r="E122" s="10">
        <v>729955</v>
      </c>
      <c r="F122" s="10">
        <f t="shared" si="9"/>
        <v>0</v>
      </c>
      <c r="G122" s="10">
        <f t="shared" si="10"/>
        <v>665045</v>
      </c>
    </row>
    <row r="123" spans="1:7" x14ac:dyDescent="0.25">
      <c r="A123" s="5" t="s">
        <v>81</v>
      </c>
      <c r="B123" s="8">
        <v>50213050</v>
      </c>
      <c r="C123" s="10">
        <v>100000</v>
      </c>
      <c r="D123" s="10">
        <v>100000</v>
      </c>
      <c r="E123" s="10">
        <v>0</v>
      </c>
      <c r="F123" s="10">
        <f t="shared" si="9"/>
        <v>0</v>
      </c>
      <c r="G123" s="10">
        <f t="shared" si="10"/>
        <v>100000</v>
      </c>
    </row>
    <row r="124" spans="1:7" x14ac:dyDescent="0.25">
      <c r="A124" s="5" t="s">
        <v>82</v>
      </c>
      <c r="B124" s="8">
        <v>50213050</v>
      </c>
      <c r="C124" s="10">
        <v>1140000</v>
      </c>
      <c r="D124" s="10">
        <v>1140000</v>
      </c>
      <c r="E124" s="10">
        <v>920000</v>
      </c>
      <c r="F124" s="10">
        <f t="shared" si="9"/>
        <v>0</v>
      </c>
      <c r="G124" s="10">
        <f t="shared" si="10"/>
        <v>220000</v>
      </c>
    </row>
    <row r="125" spans="1:7" x14ac:dyDescent="0.25">
      <c r="A125" s="5" t="s">
        <v>83</v>
      </c>
      <c r="B125" s="8">
        <v>50213050</v>
      </c>
      <c r="C125" s="10">
        <v>50000</v>
      </c>
      <c r="D125" s="10">
        <v>50000</v>
      </c>
      <c r="E125" s="10">
        <v>0</v>
      </c>
      <c r="F125" s="10">
        <f t="shared" si="9"/>
        <v>0</v>
      </c>
      <c r="G125" s="10">
        <f t="shared" si="10"/>
        <v>50000</v>
      </c>
    </row>
    <row r="126" spans="1:7" x14ac:dyDescent="0.25">
      <c r="A126" s="5" t="s">
        <v>84</v>
      </c>
      <c r="B126" s="8">
        <v>50213050</v>
      </c>
      <c r="C126" s="10">
        <v>50000</v>
      </c>
      <c r="D126" s="10">
        <v>50000</v>
      </c>
      <c r="E126" s="10">
        <v>0</v>
      </c>
      <c r="F126" s="10">
        <f t="shared" si="9"/>
        <v>0</v>
      </c>
      <c r="G126" s="10">
        <f t="shared" si="10"/>
        <v>50000</v>
      </c>
    </row>
    <row r="127" spans="1:7" x14ac:dyDescent="0.25">
      <c r="A127" s="5" t="s">
        <v>55</v>
      </c>
      <c r="B127" s="8">
        <v>50213060</v>
      </c>
      <c r="C127" s="10">
        <v>1200000</v>
      </c>
      <c r="D127" s="10">
        <v>1043750</v>
      </c>
      <c r="E127" s="10">
        <v>894840</v>
      </c>
      <c r="F127" s="10">
        <f t="shared" si="9"/>
        <v>156250</v>
      </c>
      <c r="G127" s="10">
        <f t="shared" si="10"/>
        <v>148910</v>
      </c>
    </row>
    <row r="128" spans="1:7" x14ac:dyDescent="0.25">
      <c r="A128" s="5" t="s">
        <v>56</v>
      </c>
      <c r="B128" s="8">
        <v>50216010</v>
      </c>
      <c r="C128" s="10">
        <v>190000</v>
      </c>
      <c r="D128" s="10">
        <v>140000</v>
      </c>
      <c r="E128" s="10">
        <v>71609</v>
      </c>
      <c r="F128" s="10">
        <f t="shared" si="9"/>
        <v>50000</v>
      </c>
      <c r="G128" s="10">
        <f t="shared" si="10"/>
        <v>68391</v>
      </c>
    </row>
    <row r="129" spans="1:7" x14ac:dyDescent="0.25">
      <c r="A129" s="5" t="s">
        <v>57</v>
      </c>
      <c r="B129" s="8">
        <v>50216020</v>
      </c>
      <c r="C129" s="10">
        <v>100000</v>
      </c>
      <c r="D129" s="10">
        <v>100000</v>
      </c>
      <c r="E129" s="10">
        <v>86942.47</v>
      </c>
      <c r="F129" s="10">
        <f t="shared" si="9"/>
        <v>0</v>
      </c>
      <c r="G129" s="10">
        <f t="shared" si="10"/>
        <v>13057.529999999999</v>
      </c>
    </row>
    <row r="130" spans="1:7" x14ac:dyDescent="0.25">
      <c r="A130" s="5" t="s">
        <v>58</v>
      </c>
      <c r="B130" s="8">
        <v>50299020</v>
      </c>
      <c r="C130" s="10">
        <v>5000</v>
      </c>
      <c r="D130" s="10">
        <v>5000</v>
      </c>
      <c r="E130" s="10">
        <v>0</v>
      </c>
      <c r="F130" s="10">
        <f t="shared" si="9"/>
        <v>0</v>
      </c>
      <c r="G130" s="10">
        <f t="shared" si="10"/>
        <v>5000</v>
      </c>
    </row>
    <row r="131" spans="1:7" x14ac:dyDescent="0.25">
      <c r="A131" s="5" t="s">
        <v>85</v>
      </c>
      <c r="B131" s="8">
        <v>50299050</v>
      </c>
      <c r="C131" s="10">
        <v>31102</v>
      </c>
      <c r="D131" s="10">
        <v>31102</v>
      </c>
      <c r="E131" s="10">
        <v>0</v>
      </c>
      <c r="F131" s="10">
        <f t="shared" si="9"/>
        <v>0</v>
      </c>
      <c r="G131" s="10">
        <f t="shared" si="10"/>
        <v>31102</v>
      </c>
    </row>
    <row r="132" spans="1:7" x14ac:dyDescent="0.25">
      <c r="A132" s="5" t="s">
        <v>86</v>
      </c>
      <c r="B132" s="8">
        <v>50299060</v>
      </c>
      <c r="C132" s="10">
        <v>2000</v>
      </c>
      <c r="D132" s="10">
        <v>2000</v>
      </c>
      <c r="E132" s="10">
        <v>0</v>
      </c>
      <c r="F132" s="10">
        <f t="shared" si="9"/>
        <v>0</v>
      </c>
      <c r="G132" s="10">
        <f t="shared" si="10"/>
        <v>2000</v>
      </c>
    </row>
    <row r="133" spans="1:7" x14ac:dyDescent="0.25">
      <c r="A133" s="5" t="s">
        <v>60</v>
      </c>
      <c r="B133" s="8">
        <v>50299990</v>
      </c>
      <c r="C133" s="10">
        <v>360000</v>
      </c>
      <c r="D133" s="10">
        <v>360000</v>
      </c>
      <c r="E133" s="10">
        <v>0</v>
      </c>
      <c r="F133" s="10">
        <f t="shared" si="9"/>
        <v>0</v>
      </c>
      <c r="G133" s="10">
        <f t="shared" si="10"/>
        <v>360000</v>
      </c>
    </row>
    <row r="134" spans="1:7" x14ac:dyDescent="0.25">
      <c r="B134" s="8"/>
    </row>
    <row r="135" spans="1:7" s="6" customFormat="1" x14ac:dyDescent="0.25">
      <c r="A135" s="6" t="s">
        <v>88</v>
      </c>
      <c r="B135" s="9" t="s">
        <v>10</v>
      </c>
      <c r="C135" s="11">
        <v>270000</v>
      </c>
      <c r="D135" s="11">
        <v>0</v>
      </c>
      <c r="E135" s="11">
        <v>0</v>
      </c>
      <c r="F135" s="11">
        <f t="shared" ref="F135:G139" si="12">C135-D135</f>
        <v>270000</v>
      </c>
      <c r="G135" s="11">
        <f t="shared" si="12"/>
        <v>0</v>
      </c>
    </row>
    <row r="136" spans="1:7" x14ac:dyDescent="0.25">
      <c r="A136" s="5" t="s">
        <v>43</v>
      </c>
      <c r="B136" s="8">
        <v>50203010</v>
      </c>
      <c r="C136" s="10">
        <v>20000</v>
      </c>
      <c r="D136" s="10">
        <v>0</v>
      </c>
      <c r="E136" s="10">
        <v>0</v>
      </c>
      <c r="F136" s="10">
        <f t="shared" si="12"/>
        <v>20000</v>
      </c>
      <c r="G136" s="10">
        <f t="shared" si="12"/>
        <v>0</v>
      </c>
    </row>
    <row r="137" spans="1:7" x14ac:dyDescent="0.25">
      <c r="A137" s="5" t="s">
        <v>45</v>
      </c>
      <c r="B137" s="8">
        <v>50203080</v>
      </c>
      <c r="C137" s="10">
        <v>50000</v>
      </c>
      <c r="D137" s="10">
        <v>0</v>
      </c>
      <c r="E137" s="10">
        <v>0</v>
      </c>
      <c r="F137" s="10">
        <f t="shared" si="12"/>
        <v>50000</v>
      </c>
      <c r="G137" s="10">
        <f t="shared" si="12"/>
        <v>0</v>
      </c>
    </row>
    <row r="138" spans="1:7" x14ac:dyDescent="0.25">
      <c r="A138" s="5" t="s">
        <v>80</v>
      </c>
      <c r="B138" s="8">
        <v>50213040</v>
      </c>
      <c r="C138" s="10">
        <v>100000</v>
      </c>
      <c r="D138" s="10">
        <v>0</v>
      </c>
      <c r="E138" s="10">
        <v>0</v>
      </c>
      <c r="F138" s="10">
        <f t="shared" si="12"/>
        <v>100000</v>
      </c>
      <c r="G138" s="10">
        <f t="shared" si="12"/>
        <v>0</v>
      </c>
    </row>
    <row r="139" spans="1:7" x14ac:dyDescent="0.25">
      <c r="A139" s="5" t="s">
        <v>54</v>
      </c>
      <c r="B139" s="8">
        <v>50213050</v>
      </c>
      <c r="C139" s="10">
        <v>100000</v>
      </c>
      <c r="D139" s="10">
        <v>0</v>
      </c>
      <c r="E139" s="10">
        <v>0</v>
      </c>
      <c r="F139" s="10">
        <f t="shared" si="12"/>
        <v>100000</v>
      </c>
      <c r="G139" s="10">
        <f t="shared" si="12"/>
        <v>0</v>
      </c>
    </row>
    <row r="140" spans="1:7" x14ac:dyDescent="0.25">
      <c r="B140" s="8"/>
    </row>
    <row r="141" spans="1:7" s="6" customFormat="1" x14ac:dyDescent="0.25">
      <c r="A141" s="6" t="s">
        <v>61</v>
      </c>
      <c r="B141" s="9">
        <v>300</v>
      </c>
      <c r="C141" s="11">
        <v>15470000</v>
      </c>
      <c r="D141" s="11">
        <v>11100000</v>
      </c>
      <c r="E141" s="11">
        <v>0</v>
      </c>
      <c r="F141" s="11">
        <f t="shared" ref="F141:G146" si="13">C141-D141</f>
        <v>4370000</v>
      </c>
      <c r="G141" s="11">
        <f t="shared" si="13"/>
        <v>11100000</v>
      </c>
    </row>
    <row r="142" spans="1:7" x14ac:dyDescent="0.25">
      <c r="A142" s="5" t="s">
        <v>89</v>
      </c>
      <c r="B142" s="8">
        <v>10705030</v>
      </c>
      <c r="C142" s="10">
        <v>2000000</v>
      </c>
      <c r="D142" s="10">
        <v>2000000</v>
      </c>
      <c r="E142" s="10">
        <v>0</v>
      </c>
      <c r="F142" s="10">
        <f t="shared" si="13"/>
        <v>0</v>
      </c>
      <c r="G142" s="10">
        <f t="shared" si="13"/>
        <v>2000000</v>
      </c>
    </row>
    <row r="143" spans="1:7" x14ac:dyDescent="0.25">
      <c r="A143" s="5" t="s">
        <v>90</v>
      </c>
      <c r="B143" s="8">
        <v>10705110</v>
      </c>
      <c r="C143" s="10">
        <v>4800000</v>
      </c>
      <c r="D143" s="10">
        <v>4800000</v>
      </c>
      <c r="E143" s="10">
        <v>0</v>
      </c>
      <c r="F143" s="10">
        <f t="shared" si="13"/>
        <v>0</v>
      </c>
      <c r="G143" s="10">
        <f t="shared" si="13"/>
        <v>4800000</v>
      </c>
    </row>
    <row r="144" spans="1:7" x14ac:dyDescent="0.25">
      <c r="A144" s="5" t="s">
        <v>91</v>
      </c>
      <c r="B144" s="8">
        <v>10704030</v>
      </c>
      <c r="C144" s="10">
        <v>4370000</v>
      </c>
      <c r="D144" s="10">
        <v>0</v>
      </c>
      <c r="E144" s="10">
        <v>0</v>
      </c>
      <c r="F144" s="10">
        <f t="shared" si="13"/>
        <v>4370000</v>
      </c>
      <c r="G144" s="10">
        <f t="shared" si="13"/>
        <v>0</v>
      </c>
    </row>
    <row r="145" spans="1:7" x14ac:dyDescent="0.25">
      <c r="A145" s="5" t="s">
        <v>92</v>
      </c>
      <c r="B145" s="8">
        <v>10704030</v>
      </c>
      <c r="C145" s="10">
        <v>1000000</v>
      </c>
      <c r="D145" s="10">
        <v>1000000</v>
      </c>
      <c r="E145" s="10">
        <v>0</v>
      </c>
      <c r="F145" s="10">
        <f t="shared" si="13"/>
        <v>0</v>
      </c>
      <c r="G145" s="10">
        <f t="shared" si="13"/>
        <v>1000000</v>
      </c>
    </row>
    <row r="146" spans="1:7" x14ac:dyDescent="0.25">
      <c r="A146" s="5" t="s">
        <v>93</v>
      </c>
      <c r="B146" s="8">
        <v>10704030</v>
      </c>
      <c r="C146" s="10">
        <v>3300000</v>
      </c>
      <c r="D146" s="10">
        <v>3300000</v>
      </c>
      <c r="E146" s="10">
        <v>0</v>
      </c>
      <c r="F146" s="10">
        <f t="shared" si="13"/>
        <v>0</v>
      </c>
      <c r="G146" s="10">
        <f t="shared" si="13"/>
        <v>3300000</v>
      </c>
    </row>
    <row r="147" spans="1:7" x14ac:dyDescent="0.25">
      <c r="B147" s="8"/>
    </row>
    <row r="148" spans="1:7" x14ac:dyDescent="0.25">
      <c r="A148" s="6" t="s">
        <v>94</v>
      </c>
      <c r="B148" s="9" t="s">
        <v>95</v>
      </c>
      <c r="C148" s="11">
        <v>219525513</v>
      </c>
      <c r="D148" s="11">
        <v>219525513</v>
      </c>
      <c r="E148" s="11">
        <v>184426979.21000001</v>
      </c>
      <c r="F148" s="11">
        <f t="shared" ref="F148:F174" si="14">C148-D148</f>
        <v>0</v>
      </c>
      <c r="G148" s="11">
        <f t="shared" ref="G148:G174" si="15">D148-E148</f>
        <v>35098533.789999992</v>
      </c>
    </row>
    <row r="149" spans="1:7" s="6" customFormat="1" x14ac:dyDescent="0.25">
      <c r="A149" s="6" t="s">
        <v>19</v>
      </c>
      <c r="B149" s="9">
        <v>100</v>
      </c>
      <c r="C149" s="11">
        <v>102942213</v>
      </c>
      <c r="D149" s="11">
        <v>102942213</v>
      </c>
      <c r="E149" s="11">
        <v>87573805.390000001</v>
      </c>
      <c r="F149" s="11">
        <f t="shared" si="14"/>
        <v>0</v>
      </c>
      <c r="G149" s="11">
        <f t="shared" si="15"/>
        <v>15368407.609999999</v>
      </c>
    </row>
    <row r="150" spans="1:7" s="6" customFormat="1" x14ac:dyDescent="0.25">
      <c r="A150" s="5" t="s">
        <v>21</v>
      </c>
      <c r="B150" s="8">
        <v>50101010</v>
      </c>
      <c r="C150" s="10">
        <f>20709732+356115</f>
        <v>21065847</v>
      </c>
      <c r="D150" s="10">
        <f>20709732+356115</f>
        <v>21065847</v>
      </c>
      <c r="E150" s="10">
        <v>19855290.48</v>
      </c>
      <c r="F150" s="10">
        <f t="shared" si="14"/>
        <v>0</v>
      </c>
      <c r="G150" s="10">
        <f t="shared" si="15"/>
        <v>1210556.5199999996</v>
      </c>
    </row>
    <row r="151" spans="1:7" x14ac:dyDescent="0.25">
      <c r="A151" s="5" t="s">
        <v>65</v>
      </c>
      <c r="B151" s="8">
        <v>50101020</v>
      </c>
      <c r="C151" s="10">
        <f>49492039+6944009</f>
        <v>56436048</v>
      </c>
      <c r="D151" s="10">
        <f>49492039+6944009</f>
        <v>56436048</v>
      </c>
      <c r="E151" s="10">
        <f>46217040.3+2242352.33</f>
        <v>48459392.629999995</v>
      </c>
      <c r="F151" s="10">
        <f t="shared" si="14"/>
        <v>0</v>
      </c>
      <c r="G151" s="10">
        <f t="shared" si="15"/>
        <v>7976655.3700000048</v>
      </c>
    </row>
    <row r="152" spans="1:7" x14ac:dyDescent="0.25">
      <c r="A152" s="5" t="s">
        <v>23</v>
      </c>
      <c r="B152" s="8">
        <v>50102010</v>
      </c>
      <c r="C152" s="10">
        <f>1108000+40000</f>
        <v>1148000</v>
      </c>
      <c r="D152" s="10">
        <f>1108000+40000</f>
        <v>1148000</v>
      </c>
      <c r="E152" s="10">
        <v>1023167.96</v>
      </c>
      <c r="F152" s="10">
        <f t="shared" si="14"/>
        <v>0</v>
      </c>
      <c r="G152" s="10">
        <f t="shared" si="15"/>
        <v>124832.04000000004</v>
      </c>
    </row>
    <row r="153" spans="1:7" x14ac:dyDescent="0.25">
      <c r="A153" s="5" t="s">
        <v>24</v>
      </c>
      <c r="B153" s="8">
        <v>50102020</v>
      </c>
      <c r="C153" s="10">
        <v>72000</v>
      </c>
      <c r="D153" s="10">
        <v>72000</v>
      </c>
      <c r="E153" s="10">
        <v>70500</v>
      </c>
      <c r="F153" s="10">
        <f t="shared" si="14"/>
        <v>0</v>
      </c>
      <c r="G153" s="10">
        <f t="shared" si="15"/>
        <v>1500</v>
      </c>
    </row>
    <row r="154" spans="1:7" x14ac:dyDescent="0.25">
      <c r="A154" s="5" t="s">
        <v>25</v>
      </c>
      <c r="B154" s="8">
        <v>50102030</v>
      </c>
      <c r="C154" s="10">
        <v>32000</v>
      </c>
      <c r="D154" s="10">
        <v>32000</v>
      </c>
      <c r="E154" s="10">
        <v>0</v>
      </c>
      <c r="F154" s="10">
        <f t="shared" si="14"/>
        <v>0</v>
      </c>
      <c r="G154" s="10">
        <f t="shared" si="15"/>
        <v>32000</v>
      </c>
    </row>
    <row r="155" spans="1:7" x14ac:dyDescent="0.25">
      <c r="A155" s="5" t="s">
        <v>26</v>
      </c>
      <c r="B155" s="8">
        <v>50102040</v>
      </c>
      <c r="C155" s="10">
        <v>339000</v>
      </c>
      <c r="D155" s="10">
        <v>339000</v>
      </c>
      <c r="E155" s="10">
        <v>308000</v>
      </c>
      <c r="F155" s="10">
        <f t="shared" si="14"/>
        <v>0</v>
      </c>
      <c r="G155" s="10">
        <f t="shared" si="15"/>
        <v>31000</v>
      </c>
    </row>
    <row r="156" spans="1:7" x14ac:dyDescent="0.25">
      <c r="A156" s="5" t="s">
        <v>27</v>
      </c>
      <c r="B156" s="8">
        <v>50102050</v>
      </c>
      <c r="C156" s="10">
        <f>936000+30000</f>
        <v>966000</v>
      </c>
      <c r="D156" s="10">
        <f>936000+30000</f>
        <v>966000</v>
      </c>
      <c r="E156" s="10">
        <v>411100</v>
      </c>
      <c r="F156" s="10">
        <f t="shared" si="14"/>
        <v>0</v>
      </c>
      <c r="G156" s="10">
        <f t="shared" si="15"/>
        <v>554900</v>
      </c>
    </row>
    <row r="157" spans="1:7" x14ac:dyDescent="0.25">
      <c r="A157" s="5" t="s">
        <v>28</v>
      </c>
      <c r="B157" s="8">
        <v>50102060</v>
      </c>
      <c r="C157" s="10">
        <f>93600+3000</f>
        <v>96600</v>
      </c>
      <c r="D157" s="10">
        <f>93600+3000</f>
        <v>96600</v>
      </c>
      <c r="E157" s="10">
        <v>62625.32</v>
      </c>
      <c r="F157" s="10">
        <f t="shared" si="14"/>
        <v>0</v>
      </c>
      <c r="G157" s="10">
        <f t="shared" si="15"/>
        <v>33974.68</v>
      </c>
    </row>
    <row r="158" spans="1:7" x14ac:dyDescent="0.25">
      <c r="A158" s="5" t="s">
        <v>29</v>
      </c>
      <c r="B158" s="8">
        <v>50102110</v>
      </c>
      <c r="C158" s="10">
        <f>5063462+214029</f>
        <v>5277491</v>
      </c>
      <c r="D158" s="10">
        <f>5063462+214029</f>
        <v>5277491</v>
      </c>
      <c r="E158" s="10">
        <v>3826903.41</v>
      </c>
      <c r="F158" s="10">
        <f t="shared" si="14"/>
        <v>0</v>
      </c>
      <c r="G158" s="10">
        <f t="shared" si="15"/>
        <v>1450587.5899999999</v>
      </c>
    </row>
    <row r="159" spans="1:7" x14ac:dyDescent="0.25">
      <c r="A159" s="5" t="s">
        <v>66</v>
      </c>
      <c r="B159" s="8">
        <v>50102120</v>
      </c>
      <c r="C159" s="10">
        <v>75000</v>
      </c>
      <c r="D159" s="10">
        <v>75000</v>
      </c>
      <c r="E159" s="10">
        <v>75000</v>
      </c>
      <c r="F159" s="10">
        <f t="shared" si="14"/>
        <v>0</v>
      </c>
      <c r="G159" s="10">
        <f t="shared" si="15"/>
        <v>0</v>
      </c>
    </row>
    <row r="160" spans="1:7" x14ac:dyDescent="0.25">
      <c r="A160" s="5" t="s">
        <v>96</v>
      </c>
      <c r="B160" s="8">
        <v>50102130</v>
      </c>
      <c r="C160" s="10">
        <v>100000</v>
      </c>
      <c r="D160" s="10">
        <v>100000</v>
      </c>
      <c r="E160" s="10">
        <v>0</v>
      </c>
      <c r="F160" s="10">
        <f t="shared" si="14"/>
        <v>0</v>
      </c>
      <c r="G160" s="10">
        <f t="shared" si="15"/>
        <v>100000</v>
      </c>
    </row>
    <row r="161" spans="1:7" x14ac:dyDescent="0.25">
      <c r="A161" s="5" t="s">
        <v>67</v>
      </c>
      <c r="B161" s="8">
        <v>50102130</v>
      </c>
      <c r="C161" s="10">
        <v>2500000</v>
      </c>
      <c r="D161" s="10">
        <v>2500000</v>
      </c>
      <c r="E161" s="10">
        <v>715785.42</v>
      </c>
      <c r="F161" s="10">
        <f t="shared" si="14"/>
        <v>0</v>
      </c>
      <c r="G161" s="10">
        <f t="shared" si="15"/>
        <v>1784214.58</v>
      </c>
    </row>
    <row r="162" spans="1:7" x14ac:dyDescent="0.25">
      <c r="A162" s="5" t="s">
        <v>71</v>
      </c>
      <c r="B162" s="8">
        <v>50102130</v>
      </c>
      <c r="C162" s="10">
        <v>1800000</v>
      </c>
      <c r="D162" s="10">
        <v>1800000</v>
      </c>
      <c r="E162" s="10">
        <v>1581373.82</v>
      </c>
      <c r="F162" s="10">
        <f t="shared" si="14"/>
        <v>0</v>
      </c>
      <c r="G162" s="10">
        <f t="shared" si="15"/>
        <v>218626.17999999993</v>
      </c>
    </row>
    <row r="163" spans="1:7" x14ac:dyDescent="0.25">
      <c r="A163" s="5" t="s">
        <v>30</v>
      </c>
      <c r="B163" s="8">
        <v>50102140</v>
      </c>
      <c r="C163" s="10">
        <f>1831426+121223</f>
        <v>1952649</v>
      </c>
      <c r="D163" s="10">
        <f>1831426+121223</f>
        <v>1952649</v>
      </c>
      <c r="E163" s="10">
        <v>1744872.6</v>
      </c>
      <c r="F163" s="10">
        <f t="shared" si="14"/>
        <v>0</v>
      </c>
      <c r="G163" s="10">
        <f t="shared" si="15"/>
        <v>207776.39999999991</v>
      </c>
    </row>
    <row r="164" spans="1:7" x14ac:dyDescent="0.25">
      <c r="A164" s="5" t="s">
        <v>31</v>
      </c>
      <c r="B164" s="8">
        <v>50102150</v>
      </c>
      <c r="C164" s="10">
        <f>250000+20000</f>
        <v>270000</v>
      </c>
      <c r="D164" s="10">
        <f>250000+20000</f>
        <v>270000</v>
      </c>
      <c r="E164" s="10">
        <v>218500</v>
      </c>
      <c r="F164" s="10">
        <f t="shared" si="14"/>
        <v>0</v>
      </c>
      <c r="G164" s="10">
        <f t="shared" si="15"/>
        <v>51500</v>
      </c>
    </row>
    <row r="165" spans="1:7" x14ac:dyDescent="0.25">
      <c r="A165" s="5" t="s">
        <v>32</v>
      </c>
      <c r="B165" s="8">
        <v>50102990</v>
      </c>
      <c r="C165" s="10">
        <v>403000</v>
      </c>
      <c r="D165" s="10">
        <v>403000</v>
      </c>
      <c r="E165" s="10">
        <v>280000</v>
      </c>
      <c r="F165" s="10">
        <f t="shared" si="14"/>
        <v>0</v>
      </c>
      <c r="G165" s="10">
        <f t="shared" si="15"/>
        <v>123000</v>
      </c>
    </row>
    <row r="166" spans="1:7" x14ac:dyDescent="0.25">
      <c r="A166" s="5" t="s">
        <v>33</v>
      </c>
      <c r="B166" s="8">
        <v>50102990</v>
      </c>
      <c r="C166" s="10">
        <v>1686086</v>
      </c>
      <c r="D166" s="10">
        <v>1686086</v>
      </c>
      <c r="E166" s="10">
        <v>1638225</v>
      </c>
      <c r="F166" s="10">
        <f t="shared" si="14"/>
        <v>0</v>
      </c>
      <c r="G166" s="10">
        <f t="shared" si="15"/>
        <v>47861</v>
      </c>
    </row>
    <row r="167" spans="1:7" x14ac:dyDescent="0.25">
      <c r="A167" s="5" t="s">
        <v>34</v>
      </c>
      <c r="B167" s="8">
        <v>50103010</v>
      </c>
      <c r="C167" s="10">
        <f>2745168+102734</f>
        <v>2847902</v>
      </c>
      <c r="D167" s="10">
        <f>2745168+102734</f>
        <v>2847902</v>
      </c>
      <c r="E167" s="10">
        <v>2399395.25</v>
      </c>
      <c r="F167" s="10">
        <f t="shared" si="14"/>
        <v>0</v>
      </c>
      <c r="G167" s="10">
        <f t="shared" si="15"/>
        <v>448506.75</v>
      </c>
    </row>
    <row r="168" spans="1:7" x14ac:dyDescent="0.25">
      <c r="A168" s="5" t="s">
        <v>35</v>
      </c>
      <c r="B168" s="8">
        <v>50103020</v>
      </c>
      <c r="C168" s="10">
        <f>124800+4000</f>
        <v>128800</v>
      </c>
      <c r="D168" s="10">
        <f>124800+4000</f>
        <v>128800</v>
      </c>
      <c r="E168" s="10">
        <v>102400</v>
      </c>
      <c r="F168" s="10">
        <f t="shared" si="14"/>
        <v>0</v>
      </c>
      <c r="G168" s="10">
        <f t="shared" si="15"/>
        <v>26400</v>
      </c>
    </row>
    <row r="169" spans="1:7" x14ac:dyDescent="0.25">
      <c r="A169" s="5" t="s">
        <v>36</v>
      </c>
      <c r="B169" s="8">
        <v>50103030</v>
      </c>
      <c r="C169" s="10">
        <f>592583+21403</f>
        <v>613986</v>
      </c>
      <c r="D169" s="10">
        <f>592583+21403</f>
        <v>613986</v>
      </c>
      <c r="E169" s="10">
        <v>500000.76</v>
      </c>
      <c r="F169" s="10">
        <f t="shared" si="14"/>
        <v>0</v>
      </c>
      <c r="G169" s="10">
        <f t="shared" si="15"/>
        <v>113985.23999999999</v>
      </c>
    </row>
    <row r="170" spans="1:7" x14ac:dyDescent="0.25">
      <c r="A170" s="5" t="s">
        <v>37</v>
      </c>
      <c r="B170" s="8">
        <v>50103040</v>
      </c>
      <c r="C170" s="10">
        <f>62400+2000</f>
        <v>64400</v>
      </c>
      <c r="D170" s="10">
        <f>62400+2000</f>
        <v>64400</v>
      </c>
      <c r="E170" s="10">
        <v>51400</v>
      </c>
      <c r="F170" s="10">
        <f t="shared" si="14"/>
        <v>0</v>
      </c>
      <c r="G170" s="10">
        <f t="shared" si="15"/>
        <v>13000</v>
      </c>
    </row>
    <row r="171" spans="1:7" x14ac:dyDescent="0.25">
      <c r="A171" s="5" t="s">
        <v>97</v>
      </c>
      <c r="B171" s="8">
        <v>50104030</v>
      </c>
      <c r="C171" s="10">
        <v>947665</v>
      </c>
      <c r="D171" s="10">
        <v>947665</v>
      </c>
      <c r="E171" s="10">
        <v>808702.1</v>
      </c>
      <c r="F171" s="10">
        <f t="shared" si="14"/>
        <v>0</v>
      </c>
      <c r="G171" s="10">
        <f t="shared" si="15"/>
        <v>138962.90000000002</v>
      </c>
    </row>
    <row r="172" spans="1:7" x14ac:dyDescent="0.25">
      <c r="A172" s="5" t="s">
        <v>38</v>
      </c>
      <c r="B172" s="8">
        <v>50104990</v>
      </c>
      <c r="C172" s="10">
        <f>260000+20000</f>
        <v>280000</v>
      </c>
      <c r="D172" s="10">
        <f>260000+20000</f>
        <v>280000</v>
      </c>
      <c r="E172" s="10">
        <v>210000</v>
      </c>
      <c r="F172" s="10">
        <f t="shared" si="14"/>
        <v>0</v>
      </c>
      <c r="G172" s="10">
        <f t="shared" si="15"/>
        <v>70000</v>
      </c>
    </row>
    <row r="173" spans="1:7" x14ac:dyDescent="0.25">
      <c r="A173" s="5" t="s">
        <v>39</v>
      </c>
      <c r="B173" s="8">
        <v>50104990</v>
      </c>
      <c r="C173" s="10">
        <v>56000</v>
      </c>
      <c r="D173" s="10">
        <v>56000</v>
      </c>
      <c r="E173" s="10">
        <v>0</v>
      </c>
      <c r="F173" s="10">
        <f t="shared" si="14"/>
        <v>0</v>
      </c>
      <c r="G173" s="10">
        <f t="shared" si="15"/>
        <v>56000</v>
      </c>
    </row>
    <row r="174" spans="1:7" x14ac:dyDescent="0.25">
      <c r="A174" s="5" t="s">
        <v>20</v>
      </c>
      <c r="B174" s="8">
        <v>50104990</v>
      </c>
      <c r="C174" s="10">
        <v>3783739</v>
      </c>
      <c r="D174" s="10">
        <v>3783739</v>
      </c>
      <c r="E174" s="10">
        <v>3231170.64</v>
      </c>
      <c r="F174" s="10">
        <f t="shared" si="14"/>
        <v>0</v>
      </c>
      <c r="G174" s="10">
        <f t="shared" si="15"/>
        <v>552568.35999999987</v>
      </c>
    </row>
    <row r="175" spans="1:7" x14ac:dyDescent="0.25">
      <c r="B175" s="8"/>
    </row>
    <row r="176" spans="1:7" s="6" customFormat="1" x14ac:dyDescent="0.25">
      <c r="A176" s="6" t="s">
        <v>40</v>
      </c>
      <c r="B176" s="9">
        <v>200</v>
      </c>
      <c r="C176" s="11">
        <v>99583300</v>
      </c>
      <c r="D176" s="11">
        <v>99583300</v>
      </c>
      <c r="E176" s="11">
        <v>90703173.819999993</v>
      </c>
      <c r="F176" s="11">
        <f t="shared" ref="F176:F205" si="16">C176-D176</f>
        <v>0</v>
      </c>
      <c r="G176" s="11">
        <f t="shared" ref="G176:G205" si="17">D176-E176</f>
        <v>8880126.1800000072</v>
      </c>
    </row>
    <row r="177" spans="1:7" s="6" customFormat="1" x14ac:dyDescent="0.25">
      <c r="A177" s="5" t="s">
        <v>41</v>
      </c>
      <c r="B177" s="8">
        <v>50201010</v>
      </c>
      <c r="C177" s="10">
        <f>100000+150000</f>
        <v>250000</v>
      </c>
      <c r="D177" s="10">
        <f>100000+150000</f>
        <v>250000</v>
      </c>
      <c r="E177" s="10">
        <f>100000+147940</f>
        <v>247940</v>
      </c>
      <c r="F177" s="10">
        <f t="shared" si="16"/>
        <v>0</v>
      </c>
      <c r="G177" s="10">
        <f t="shared" si="17"/>
        <v>2060</v>
      </c>
    </row>
    <row r="178" spans="1:7" x14ac:dyDescent="0.25">
      <c r="A178" s="5" t="s">
        <v>42</v>
      </c>
      <c r="B178" s="8">
        <v>50202010</v>
      </c>
      <c r="C178" s="10">
        <f>520000+200000</f>
        <v>720000</v>
      </c>
      <c r="D178" s="10">
        <f>520000+200000</f>
        <v>720000</v>
      </c>
      <c r="E178" s="10">
        <f>479100+189420</f>
        <v>668520</v>
      </c>
      <c r="F178" s="10">
        <f t="shared" si="16"/>
        <v>0</v>
      </c>
      <c r="G178" s="10">
        <f t="shared" si="17"/>
        <v>51480</v>
      </c>
    </row>
    <row r="179" spans="1:7" x14ac:dyDescent="0.25">
      <c r="A179" s="5" t="s">
        <v>43</v>
      </c>
      <c r="B179" s="8">
        <v>50203010</v>
      </c>
      <c r="C179" s="10">
        <v>1250000</v>
      </c>
      <c r="D179" s="10">
        <v>1250000</v>
      </c>
      <c r="E179" s="10">
        <v>1163444.25</v>
      </c>
      <c r="F179" s="10">
        <f t="shared" si="16"/>
        <v>0</v>
      </c>
      <c r="G179" s="10">
        <f t="shared" si="17"/>
        <v>86555.75</v>
      </c>
    </row>
    <row r="180" spans="1:7" x14ac:dyDescent="0.25">
      <c r="A180" s="5" t="s">
        <v>74</v>
      </c>
      <c r="B180" s="8">
        <v>50203020</v>
      </c>
      <c r="C180" s="10">
        <v>110000</v>
      </c>
      <c r="D180" s="10">
        <v>110000</v>
      </c>
      <c r="E180" s="10">
        <v>73700</v>
      </c>
      <c r="F180" s="10">
        <f t="shared" si="16"/>
        <v>0</v>
      </c>
      <c r="G180" s="10">
        <f t="shared" si="17"/>
        <v>36300</v>
      </c>
    </row>
    <row r="181" spans="1:7" x14ac:dyDescent="0.25">
      <c r="A181" s="5" t="s">
        <v>75</v>
      </c>
      <c r="B181" s="8">
        <v>50203050</v>
      </c>
      <c r="C181" s="10">
        <v>5800000</v>
      </c>
      <c r="D181" s="10">
        <v>5800000</v>
      </c>
      <c r="E181" s="10">
        <v>5100027</v>
      </c>
      <c r="F181" s="10">
        <f t="shared" si="16"/>
        <v>0</v>
      </c>
      <c r="G181" s="10">
        <f t="shared" si="17"/>
        <v>699973</v>
      </c>
    </row>
    <row r="182" spans="1:7" x14ac:dyDescent="0.25">
      <c r="A182" s="5" t="s">
        <v>44</v>
      </c>
      <c r="B182" s="8">
        <v>50203070</v>
      </c>
      <c r="C182" s="10">
        <v>4000000</v>
      </c>
      <c r="D182" s="10">
        <v>4000000</v>
      </c>
      <c r="E182" s="10">
        <v>2962970</v>
      </c>
      <c r="F182" s="10">
        <f t="shared" si="16"/>
        <v>0</v>
      </c>
      <c r="G182" s="10">
        <f t="shared" si="17"/>
        <v>1037030</v>
      </c>
    </row>
    <row r="183" spans="1:7" x14ac:dyDescent="0.25">
      <c r="A183" s="5" t="s">
        <v>45</v>
      </c>
      <c r="B183" s="8">
        <v>50203080</v>
      </c>
      <c r="C183" s="10">
        <v>16600000</v>
      </c>
      <c r="D183" s="10">
        <v>16600000</v>
      </c>
      <c r="E183" s="10">
        <v>16224038.59</v>
      </c>
      <c r="F183" s="10">
        <f t="shared" si="16"/>
        <v>0</v>
      </c>
      <c r="G183" s="10">
        <f t="shared" si="17"/>
        <v>375961.41000000015</v>
      </c>
    </row>
    <row r="184" spans="1:7" x14ac:dyDescent="0.25">
      <c r="A184" s="5" t="s">
        <v>46</v>
      </c>
      <c r="B184" s="8">
        <v>50203090</v>
      </c>
      <c r="C184" s="10">
        <v>2300000</v>
      </c>
      <c r="D184" s="10">
        <v>2300000</v>
      </c>
      <c r="E184" s="10">
        <v>2099309.31</v>
      </c>
      <c r="F184" s="10">
        <f t="shared" si="16"/>
        <v>0</v>
      </c>
      <c r="G184" s="10">
        <f t="shared" si="17"/>
        <v>200690.68999999994</v>
      </c>
    </row>
    <row r="185" spans="1:7" x14ac:dyDescent="0.25">
      <c r="A185" s="5" t="s">
        <v>47</v>
      </c>
      <c r="B185" s="8">
        <v>50203210</v>
      </c>
      <c r="C185" s="10">
        <v>500000</v>
      </c>
      <c r="D185" s="10">
        <v>500000</v>
      </c>
      <c r="E185" s="10">
        <v>0</v>
      </c>
      <c r="F185" s="10">
        <f t="shared" si="16"/>
        <v>0</v>
      </c>
      <c r="G185" s="10">
        <f t="shared" si="17"/>
        <v>500000</v>
      </c>
    </row>
    <row r="186" spans="1:7" x14ac:dyDescent="0.25">
      <c r="A186" s="5" t="s">
        <v>49</v>
      </c>
      <c r="B186" s="8">
        <v>50203990</v>
      </c>
      <c r="C186" s="10">
        <v>1000000</v>
      </c>
      <c r="D186" s="10">
        <v>1000000</v>
      </c>
      <c r="E186" s="10">
        <v>687309.75</v>
      </c>
      <c r="F186" s="10">
        <f t="shared" si="16"/>
        <v>0</v>
      </c>
      <c r="G186" s="10">
        <f t="shared" si="17"/>
        <v>312690.25</v>
      </c>
    </row>
    <row r="187" spans="1:7" x14ac:dyDescent="0.25">
      <c r="A187" s="5" t="s">
        <v>76</v>
      </c>
      <c r="B187" s="8">
        <v>50203990</v>
      </c>
      <c r="C187" s="10">
        <v>92000</v>
      </c>
      <c r="D187" s="10">
        <v>92000</v>
      </c>
      <c r="E187" s="10">
        <v>75831</v>
      </c>
      <c r="F187" s="10">
        <f t="shared" si="16"/>
        <v>0</v>
      </c>
      <c r="G187" s="10">
        <f t="shared" si="17"/>
        <v>16169</v>
      </c>
    </row>
    <row r="188" spans="1:7" x14ac:dyDescent="0.25">
      <c r="A188" s="5" t="s">
        <v>50</v>
      </c>
      <c r="B188" s="8">
        <v>50204010</v>
      </c>
      <c r="C188" s="10">
        <v>50000</v>
      </c>
      <c r="D188" s="10">
        <v>50000</v>
      </c>
      <c r="E188" s="10">
        <v>12000</v>
      </c>
      <c r="F188" s="10">
        <f t="shared" si="16"/>
        <v>0</v>
      </c>
      <c r="G188" s="10">
        <f t="shared" si="17"/>
        <v>38000</v>
      </c>
    </row>
    <row r="189" spans="1:7" x14ac:dyDescent="0.25">
      <c r="A189" s="5" t="s">
        <v>77</v>
      </c>
      <c r="B189" s="8">
        <v>50204020</v>
      </c>
      <c r="C189" s="10">
        <v>5500000</v>
      </c>
      <c r="D189" s="10">
        <v>5500000</v>
      </c>
      <c r="E189" s="10">
        <v>5472973.5499999998</v>
      </c>
      <c r="F189" s="10">
        <f t="shared" si="16"/>
        <v>0</v>
      </c>
      <c r="G189" s="10">
        <f t="shared" si="17"/>
        <v>27026.450000000186</v>
      </c>
    </row>
    <row r="190" spans="1:7" x14ac:dyDescent="0.25">
      <c r="A190" s="5" t="s">
        <v>52</v>
      </c>
      <c r="B190" s="8">
        <v>50205020</v>
      </c>
      <c r="C190" s="10">
        <v>42000</v>
      </c>
      <c r="D190" s="10">
        <v>42000</v>
      </c>
      <c r="E190" s="10">
        <v>42000</v>
      </c>
      <c r="F190" s="10">
        <f t="shared" si="16"/>
        <v>0</v>
      </c>
      <c r="G190" s="10">
        <f t="shared" si="17"/>
        <v>0</v>
      </c>
    </row>
    <row r="191" spans="1:7" x14ac:dyDescent="0.25">
      <c r="A191" s="5" t="s">
        <v>78</v>
      </c>
      <c r="B191" s="8">
        <v>50205030</v>
      </c>
      <c r="C191" s="10">
        <v>60000</v>
      </c>
      <c r="D191" s="10">
        <v>60000</v>
      </c>
      <c r="E191" s="10">
        <v>53762</v>
      </c>
      <c r="F191" s="10">
        <f t="shared" si="16"/>
        <v>0</v>
      </c>
      <c r="G191" s="10">
        <f t="shared" si="17"/>
        <v>6238</v>
      </c>
    </row>
    <row r="192" spans="1:7" x14ac:dyDescent="0.25">
      <c r="A192" s="5" t="s">
        <v>79</v>
      </c>
      <c r="B192" s="8">
        <v>50205040</v>
      </c>
      <c r="C192" s="10">
        <v>5000</v>
      </c>
      <c r="D192" s="10">
        <v>5000</v>
      </c>
      <c r="E192" s="10">
        <v>0</v>
      </c>
      <c r="F192" s="10">
        <f t="shared" si="16"/>
        <v>0</v>
      </c>
      <c r="G192" s="10">
        <f t="shared" si="17"/>
        <v>5000</v>
      </c>
    </row>
    <row r="193" spans="1:7" x14ac:dyDescent="0.25">
      <c r="A193" s="5" t="s">
        <v>87</v>
      </c>
      <c r="B193" s="8">
        <v>50212010</v>
      </c>
      <c r="C193" s="10">
        <v>500000</v>
      </c>
      <c r="D193" s="10">
        <v>500000</v>
      </c>
      <c r="E193" s="10">
        <v>500000</v>
      </c>
      <c r="F193" s="10">
        <f t="shared" si="16"/>
        <v>0</v>
      </c>
      <c r="G193" s="10">
        <f t="shared" si="17"/>
        <v>0</v>
      </c>
    </row>
    <row r="194" spans="1:7" x14ac:dyDescent="0.25">
      <c r="A194" s="5" t="s">
        <v>53</v>
      </c>
      <c r="B194" s="8">
        <v>50212990</v>
      </c>
      <c r="C194" s="10">
        <f>32215300+20000000</f>
        <v>52215300</v>
      </c>
      <c r="D194" s="10">
        <f>32215300+20000000</f>
        <v>52215300</v>
      </c>
      <c r="E194" s="10">
        <f>32202670.29+16309453.02</f>
        <v>48512123.310000002</v>
      </c>
      <c r="F194" s="10">
        <f t="shared" si="16"/>
        <v>0</v>
      </c>
      <c r="G194" s="10">
        <f t="shared" si="17"/>
        <v>3703176.6899999976</v>
      </c>
    </row>
    <row r="195" spans="1:7" x14ac:dyDescent="0.25">
      <c r="A195" s="5" t="s">
        <v>98</v>
      </c>
      <c r="B195" s="8">
        <v>50212990</v>
      </c>
      <c r="C195" s="10">
        <v>887000</v>
      </c>
      <c r="D195" s="10">
        <v>887000</v>
      </c>
      <c r="E195" s="10">
        <v>754590.11</v>
      </c>
      <c r="F195" s="10">
        <f t="shared" si="16"/>
        <v>0</v>
      </c>
      <c r="G195" s="10">
        <f t="shared" si="17"/>
        <v>132409.89000000001</v>
      </c>
    </row>
    <row r="196" spans="1:7" x14ac:dyDescent="0.25">
      <c r="A196" s="5" t="s">
        <v>53</v>
      </c>
      <c r="B196" s="8">
        <v>50212990</v>
      </c>
      <c r="C196" s="10">
        <v>4500000</v>
      </c>
      <c r="D196" s="10">
        <v>4500000</v>
      </c>
      <c r="E196" s="10">
        <v>3676000</v>
      </c>
      <c r="F196" s="10">
        <f t="shared" si="16"/>
        <v>0</v>
      </c>
      <c r="G196" s="10">
        <f t="shared" si="17"/>
        <v>824000</v>
      </c>
    </row>
    <row r="197" spans="1:7" x14ac:dyDescent="0.25">
      <c r="A197" s="5" t="s">
        <v>80</v>
      </c>
      <c r="B197" s="8">
        <v>50213040</v>
      </c>
      <c r="C197" s="10">
        <f>1000000+200000</f>
        <v>1200000</v>
      </c>
      <c r="D197" s="10">
        <f>1000000+200000</f>
        <v>1200000</v>
      </c>
      <c r="E197" s="10">
        <v>821881.2</v>
      </c>
      <c r="F197" s="10">
        <f t="shared" si="16"/>
        <v>0</v>
      </c>
      <c r="G197" s="10">
        <f t="shared" si="17"/>
        <v>378118.80000000005</v>
      </c>
    </row>
    <row r="198" spans="1:7" x14ac:dyDescent="0.25">
      <c r="A198" s="5" t="s">
        <v>82</v>
      </c>
      <c r="B198" s="8">
        <v>50213050</v>
      </c>
      <c r="C198" s="10">
        <v>900000</v>
      </c>
      <c r="D198" s="10">
        <v>900000</v>
      </c>
      <c r="E198" s="10">
        <v>750000</v>
      </c>
      <c r="F198" s="10">
        <f t="shared" si="16"/>
        <v>0</v>
      </c>
      <c r="G198" s="10">
        <f t="shared" si="17"/>
        <v>150000</v>
      </c>
    </row>
    <row r="199" spans="1:7" x14ac:dyDescent="0.25">
      <c r="A199" s="5" t="s">
        <v>55</v>
      </c>
      <c r="B199" s="8">
        <v>50213060</v>
      </c>
      <c r="C199" s="10">
        <v>800000</v>
      </c>
      <c r="D199" s="10">
        <v>800000</v>
      </c>
      <c r="E199" s="10">
        <v>613800</v>
      </c>
      <c r="F199" s="10">
        <f t="shared" si="16"/>
        <v>0</v>
      </c>
      <c r="G199" s="10">
        <f t="shared" si="17"/>
        <v>186200</v>
      </c>
    </row>
    <row r="200" spans="1:7" x14ac:dyDescent="0.25">
      <c r="A200" s="5" t="s">
        <v>56</v>
      </c>
      <c r="B200" s="8">
        <v>50216010</v>
      </c>
      <c r="C200" s="10">
        <v>115000</v>
      </c>
      <c r="D200" s="10">
        <v>115000</v>
      </c>
      <c r="E200" s="10">
        <v>107655</v>
      </c>
      <c r="F200" s="10">
        <f t="shared" si="16"/>
        <v>0</v>
      </c>
      <c r="G200" s="10">
        <f t="shared" si="17"/>
        <v>7345</v>
      </c>
    </row>
    <row r="201" spans="1:7" x14ac:dyDescent="0.25">
      <c r="A201" s="5" t="s">
        <v>57</v>
      </c>
      <c r="B201" s="8">
        <v>50216020</v>
      </c>
      <c r="C201" s="10">
        <v>100000</v>
      </c>
      <c r="D201" s="10">
        <v>100000</v>
      </c>
      <c r="E201" s="10">
        <v>83298.75</v>
      </c>
      <c r="F201" s="10">
        <f t="shared" si="16"/>
        <v>0</v>
      </c>
      <c r="G201" s="10">
        <f t="shared" si="17"/>
        <v>16701.25</v>
      </c>
    </row>
    <row r="202" spans="1:7" x14ac:dyDescent="0.25">
      <c r="A202" s="5" t="s">
        <v>58</v>
      </c>
      <c r="B202" s="8">
        <v>50299020</v>
      </c>
      <c r="C202" s="10">
        <v>50000</v>
      </c>
      <c r="D202" s="10">
        <v>50000</v>
      </c>
      <c r="E202" s="10">
        <v>0</v>
      </c>
      <c r="F202" s="10">
        <f t="shared" si="16"/>
        <v>0</v>
      </c>
      <c r="G202" s="10">
        <f t="shared" si="17"/>
        <v>50000</v>
      </c>
    </row>
    <row r="203" spans="1:7" x14ac:dyDescent="0.25">
      <c r="A203" s="5" t="s">
        <v>59</v>
      </c>
      <c r="B203" s="8">
        <v>50299030</v>
      </c>
      <c r="C203" s="10">
        <v>5000</v>
      </c>
      <c r="D203" s="10">
        <v>5000</v>
      </c>
      <c r="E203" s="10">
        <v>0</v>
      </c>
      <c r="F203" s="10">
        <f t="shared" si="16"/>
        <v>0</v>
      </c>
      <c r="G203" s="10">
        <f t="shared" si="17"/>
        <v>5000</v>
      </c>
    </row>
    <row r="204" spans="1:7" x14ac:dyDescent="0.25">
      <c r="A204" s="5" t="s">
        <v>86</v>
      </c>
      <c r="B204" s="8">
        <v>50299060</v>
      </c>
      <c r="C204" s="10">
        <v>2000</v>
      </c>
      <c r="D204" s="10">
        <v>2000</v>
      </c>
      <c r="E204" s="10">
        <v>0</v>
      </c>
      <c r="F204" s="10">
        <f t="shared" si="16"/>
        <v>0</v>
      </c>
      <c r="G204" s="10">
        <f t="shared" si="17"/>
        <v>2000</v>
      </c>
    </row>
    <row r="205" spans="1:7" x14ac:dyDescent="0.25">
      <c r="A205" s="5" t="s">
        <v>60</v>
      </c>
      <c r="B205" s="8">
        <v>50299990</v>
      </c>
      <c r="C205" s="10">
        <v>30000</v>
      </c>
      <c r="D205" s="10">
        <v>30000</v>
      </c>
      <c r="E205" s="10">
        <v>0</v>
      </c>
      <c r="F205" s="10">
        <f t="shared" si="16"/>
        <v>0</v>
      </c>
      <c r="G205" s="10">
        <f t="shared" si="17"/>
        <v>30000</v>
      </c>
    </row>
    <row r="206" spans="1:7" x14ac:dyDescent="0.25">
      <c r="A206" s="6"/>
      <c r="B206" s="9"/>
      <c r="C206" s="11"/>
      <c r="D206" s="11"/>
      <c r="E206" s="11"/>
      <c r="F206" s="11"/>
      <c r="G206" s="11"/>
    </row>
    <row r="207" spans="1:7" s="6" customFormat="1" x14ac:dyDescent="0.25">
      <c r="A207" s="6" t="s">
        <v>61</v>
      </c>
      <c r="B207" s="9">
        <v>300</v>
      </c>
      <c r="C207" s="11">
        <v>17000000</v>
      </c>
      <c r="D207" s="11">
        <v>17000000</v>
      </c>
      <c r="E207" s="11">
        <v>6150000</v>
      </c>
      <c r="F207" s="11">
        <f t="shared" ref="F207:G213" si="18">C207-D207</f>
        <v>0</v>
      </c>
      <c r="G207" s="11">
        <f t="shared" si="18"/>
        <v>10850000</v>
      </c>
    </row>
    <row r="208" spans="1:7" x14ac:dyDescent="0.25">
      <c r="A208" s="5" t="s">
        <v>62</v>
      </c>
      <c r="B208" s="8">
        <v>10705030</v>
      </c>
      <c r="C208" s="10">
        <v>1000000</v>
      </c>
      <c r="D208" s="10">
        <v>1000000</v>
      </c>
      <c r="E208" s="10">
        <v>0</v>
      </c>
      <c r="F208" s="10">
        <f t="shared" si="18"/>
        <v>0</v>
      </c>
      <c r="G208" s="10">
        <f t="shared" si="18"/>
        <v>1000000</v>
      </c>
    </row>
    <row r="209" spans="1:7" x14ac:dyDescent="0.25">
      <c r="A209" s="5" t="s">
        <v>99</v>
      </c>
      <c r="B209" s="8">
        <v>10705110</v>
      </c>
      <c r="C209" s="10">
        <v>6500000</v>
      </c>
      <c r="D209" s="10">
        <v>6500000</v>
      </c>
      <c r="E209" s="10">
        <v>6150000</v>
      </c>
      <c r="F209" s="10">
        <f t="shared" si="18"/>
        <v>0</v>
      </c>
      <c r="G209" s="10">
        <f t="shared" si="18"/>
        <v>350000</v>
      </c>
    </row>
    <row r="210" spans="1:7" x14ac:dyDescent="0.25">
      <c r="A210" s="5" t="s">
        <v>100</v>
      </c>
      <c r="B210" s="8">
        <v>10706010</v>
      </c>
      <c r="C210" s="10">
        <v>1800000</v>
      </c>
      <c r="D210" s="10">
        <v>1800000</v>
      </c>
      <c r="E210" s="10">
        <v>0</v>
      </c>
      <c r="F210" s="10">
        <f t="shared" si="18"/>
        <v>0</v>
      </c>
      <c r="G210" s="10">
        <f t="shared" si="18"/>
        <v>1800000</v>
      </c>
    </row>
    <row r="211" spans="1:7" x14ac:dyDescent="0.25">
      <c r="A211" s="5" t="s">
        <v>99</v>
      </c>
      <c r="B211" s="8">
        <v>10705110</v>
      </c>
      <c r="C211" s="10">
        <v>2000000</v>
      </c>
      <c r="D211" s="10">
        <v>2000000</v>
      </c>
      <c r="E211" s="10">
        <v>0</v>
      </c>
      <c r="F211" s="10">
        <f t="shared" si="18"/>
        <v>0</v>
      </c>
      <c r="G211" s="10">
        <f t="shared" si="18"/>
        <v>2000000</v>
      </c>
    </row>
    <row r="212" spans="1:7" x14ac:dyDescent="0.25">
      <c r="A212" s="5" t="s">
        <v>89</v>
      </c>
      <c r="B212" s="8">
        <v>10705030</v>
      </c>
      <c r="C212" s="10">
        <v>2000000</v>
      </c>
      <c r="D212" s="10">
        <v>2000000</v>
      </c>
      <c r="E212" s="10">
        <v>0</v>
      </c>
      <c r="F212" s="10">
        <f t="shared" si="18"/>
        <v>0</v>
      </c>
      <c r="G212" s="10">
        <f t="shared" si="18"/>
        <v>2000000</v>
      </c>
    </row>
    <row r="213" spans="1:7" x14ac:dyDescent="0.25">
      <c r="A213" s="5" t="s">
        <v>90</v>
      </c>
      <c r="B213" s="8">
        <v>10705110</v>
      </c>
      <c r="C213" s="10">
        <v>3700000</v>
      </c>
      <c r="D213" s="10">
        <v>3700000</v>
      </c>
      <c r="E213" s="10">
        <v>0</v>
      </c>
      <c r="F213" s="10">
        <f t="shared" si="18"/>
        <v>0</v>
      </c>
      <c r="G213" s="10">
        <f t="shared" si="18"/>
        <v>3700000</v>
      </c>
    </row>
    <row r="214" spans="1:7" x14ac:dyDescent="0.25">
      <c r="B214" s="8"/>
    </row>
    <row r="215" spans="1:7" x14ac:dyDescent="0.25">
      <c r="A215" s="6" t="s">
        <v>101</v>
      </c>
      <c r="B215" s="9" t="s">
        <v>102</v>
      </c>
      <c r="C215" s="11">
        <v>117183500</v>
      </c>
      <c r="D215" s="11">
        <v>117183500</v>
      </c>
      <c r="E215" s="11">
        <v>96703693.469999999</v>
      </c>
      <c r="F215" s="11">
        <f t="shared" ref="F215:F240" si="19">C215-D215</f>
        <v>0</v>
      </c>
      <c r="G215" s="11">
        <f t="shared" ref="G215:G240" si="20">D215-E215</f>
        <v>20479806.530000001</v>
      </c>
    </row>
    <row r="216" spans="1:7" s="6" customFormat="1" x14ac:dyDescent="0.25">
      <c r="A216" s="6" t="s">
        <v>19</v>
      </c>
      <c r="B216" s="9">
        <v>100</v>
      </c>
      <c r="C216" s="11">
        <v>60054832</v>
      </c>
      <c r="D216" s="11">
        <v>60054832</v>
      </c>
      <c r="E216" s="11">
        <v>51667587.609999999</v>
      </c>
      <c r="F216" s="11">
        <f t="shared" si="19"/>
        <v>0</v>
      </c>
      <c r="G216" s="11">
        <f t="shared" si="20"/>
        <v>8387244.3900000006</v>
      </c>
    </row>
    <row r="217" spans="1:7" s="6" customFormat="1" x14ac:dyDescent="0.25">
      <c r="A217" s="5" t="s">
        <v>21</v>
      </c>
      <c r="B217" s="8">
        <v>50101010</v>
      </c>
      <c r="C217" s="10">
        <f>12080694+273775</f>
        <v>12354469</v>
      </c>
      <c r="D217" s="10">
        <f>12080694+273775</f>
        <v>12354469</v>
      </c>
      <c r="E217" s="10">
        <v>12051747.98</v>
      </c>
      <c r="F217" s="10">
        <f t="shared" si="19"/>
        <v>0</v>
      </c>
      <c r="G217" s="10">
        <f t="shared" si="20"/>
        <v>302721.01999999955</v>
      </c>
    </row>
    <row r="218" spans="1:7" x14ac:dyDescent="0.25">
      <c r="A218" s="5" t="s">
        <v>65</v>
      </c>
      <c r="B218" s="8">
        <v>50101020</v>
      </c>
      <c r="C218" s="10">
        <f>28230688+4945000</f>
        <v>33175688</v>
      </c>
      <c r="D218" s="10">
        <f>28230688+4945000</f>
        <v>33175688</v>
      </c>
      <c r="E218" s="10">
        <v>27802526.940000001</v>
      </c>
      <c r="F218" s="10">
        <f t="shared" si="19"/>
        <v>0</v>
      </c>
      <c r="G218" s="10">
        <f t="shared" si="20"/>
        <v>5373161.0599999987</v>
      </c>
    </row>
    <row r="219" spans="1:7" x14ac:dyDescent="0.25">
      <c r="A219" s="5" t="s">
        <v>23</v>
      </c>
      <c r="B219" s="8">
        <v>50102010</v>
      </c>
      <c r="C219" s="10">
        <f>672000+20000</f>
        <v>692000</v>
      </c>
      <c r="D219" s="10">
        <f>672000+20000</f>
        <v>692000</v>
      </c>
      <c r="E219" s="10">
        <v>672000</v>
      </c>
      <c r="F219" s="10">
        <f t="shared" si="19"/>
        <v>0</v>
      </c>
      <c r="G219" s="10">
        <f t="shared" si="20"/>
        <v>20000</v>
      </c>
    </row>
    <row r="220" spans="1:7" x14ac:dyDescent="0.25">
      <c r="A220" s="5" t="s">
        <v>24</v>
      </c>
      <c r="B220" s="8">
        <v>50102020</v>
      </c>
      <c r="C220" s="10">
        <v>72000</v>
      </c>
      <c r="D220" s="10">
        <v>72000</v>
      </c>
      <c r="E220" s="10">
        <v>72000</v>
      </c>
      <c r="F220" s="10">
        <f t="shared" si="19"/>
        <v>0</v>
      </c>
      <c r="G220" s="10">
        <f t="shared" si="20"/>
        <v>0</v>
      </c>
    </row>
    <row r="221" spans="1:7" x14ac:dyDescent="0.25">
      <c r="A221" s="5" t="s">
        <v>25</v>
      </c>
      <c r="B221" s="8">
        <v>50102030</v>
      </c>
      <c r="C221" s="10">
        <v>32000</v>
      </c>
      <c r="D221" s="10">
        <v>32000</v>
      </c>
      <c r="E221" s="10">
        <v>2375</v>
      </c>
      <c r="F221" s="10">
        <f t="shared" si="19"/>
        <v>0</v>
      </c>
      <c r="G221" s="10">
        <f t="shared" si="20"/>
        <v>29625</v>
      </c>
    </row>
    <row r="222" spans="1:7" x14ac:dyDescent="0.25">
      <c r="A222" s="5" t="s">
        <v>26</v>
      </c>
      <c r="B222" s="8">
        <v>50102040</v>
      </c>
      <c r="C222" s="10">
        <v>196000</v>
      </c>
      <c r="D222" s="10">
        <v>196000</v>
      </c>
      <c r="E222" s="10">
        <v>196000</v>
      </c>
      <c r="F222" s="10">
        <f t="shared" si="19"/>
        <v>0</v>
      </c>
      <c r="G222" s="10">
        <f t="shared" si="20"/>
        <v>0</v>
      </c>
    </row>
    <row r="223" spans="1:7" x14ac:dyDescent="0.25">
      <c r="A223" s="5" t="s">
        <v>27</v>
      </c>
      <c r="B223" s="8">
        <v>50102050</v>
      </c>
      <c r="C223" s="10">
        <f>504000+30000</f>
        <v>534000</v>
      </c>
      <c r="D223" s="10">
        <f>504000+30000</f>
        <v>534000</v>
      </c>
      <c r="E223" s="10">
        <v>297600</v>
      </c>
      <c r="F223" s="10">
        <f t="shared" si="19"/>
        <v>0</v>
      </c>
      <c r="G223" s="10">
        <f t="shared" si="20"/>
        <v>236400</v>
      </c>
    </row>
    <row r="224" spans="1:7" x14ac:dyDescent="0.25">
      <c r="A224" s="5" t="s">
        <v>28</v>
      </c>
      <c r="B224" s="8">
        <v>50102060</v>
      </c>
      <c r="C224" s="10">
        <f>50400+3000</f>
        <v>53400</v>
      </c>
      <c r="D224" s="10">
        <f>50400+3000</f>
        <v>53400</v>
      </c>
      <c r="E224" s="10">
        <v>39409.279999999999</v>
      </c>
      <c r="F224" s="10">
        <f t="shared" si="19"/>
        <v>0</v>
      </c>
      <c r="G224" s="10">
        <f t="shared" si="20"/>
        <v>13990.720000000001</v>
      </c>
    </row>
    <row r="225" spans="1:7" x14ac:dyDescent="0.25">
      <c r="A225" s="5" t="s">
        <v>29</v>
      </c>
      <c r="B225" s="8">
        <v>50102110</v>
      </c>
      <c r="C225" s="10">
        <f>2584884+255944</f>
        <v>2840828</v>
      </c>
      <c r="D225" s="10">
        <f>2584884+255944</f>
        <v>2840828</v>
      </c>
      <c r="E225" s="10">
        <v>2577378</v>
      </c>
      <c r="F225" s="10">
        <f t="shared" si="19"/>
        <v>0</v>
      </c>
      <c r="G225" s="10">
        <f t="shared" si="20"/>
        <v>263450</v>
      </c>
    </row>
    <row r="226" spans="1:7" x14ac:dyDescent="0.25">
      <c r="A226" s="5" t="s">
        <v>66</v>
      </c>
      <c r="B226" s="8">
        <v>50102120</v>
      </c>
      <c r="C226" s="10">
        <v>15000</v>
      </c>
      <c r="D226" s="10">
        <v>15000</v>
      </c>
      <c r="E226" s="10">
        <v>15000</v>
      </c>
      <c r="F226" s="10">
        <f t="shared" si="19"/>
        <v>0</v>
      </c>
      <c r="G226" s="10">
        <f t="shared" si="20"/>
        <v>0</v>
      </c>
    </row>
    <row r="227" spans="1:7" x14ac:dyDescent="0.25">
      <c r="A227" s="5" t="s">
        <v>96</v>
      </c>
      <c r="B227" s="8">
        <v>50102130</v>
      </c>
      <c r="C227" s="10">
        <v>500000</v>
      </c>
      <c r="D227" s="10">
        <v>500000</v>
      </c>
      <c r="E227" s="10">
        <v>0</v>
      </c>
      <c r="F227" s="10">
        <f t="shared" si="19"/>
        <v>0</v>
      </c>
      <c r="G227" s="10">
        <f t="shared" si="20"/>
        <v>500000</v>
      </c>
    </row>
    <row r="228" spans="1:7" x14ac:dyDescent="0.25">
      <c r="A228" s="5" t="s">
        <v>67</v>
      </c>
      <c r="B228" s="8">
        <v>50102130</v>
      </c>
      <c r="C228" s="10">
        <v>398500</v>
      </c>
      <c r="D228" s="10">
        <v>398500</v>
      </c>
      <c r="E228" s="10">
        <v>365193.77</v>
      </c>
      <c r="F228" s="10">
        <f t="shared" si="19"/>
        <v>0</v>
      </c>
      <c r="G228" s="10">
        <f t="shared" si="20"/>
        <v>33306.229999999981</v>
      </c>
    </row>
    <row r="229" spans="1:7" x14ac:dyDescent="0.25">
      <c r="A229" s="5" t="s">
        <v>68</v>
      </c>
      <c r="B229" s="8">
        <v>50102130</v>
      </c>
      <c r="C229" s="10">
        <v>402000</v>
      </c>
      <c r="D229" s="10">
        <v>402000</v>
      </c>
      <c r="E229" s="10">
        <v>332138.12</v>
      </c>
      <c r="F229" s="10">
        <f t="shared" si="19"/>
        <v>0</v>
      </c>
      <c r="G229" s="10">
        <f t="shared" si="20"/>
        <v>69861.88</v>
      </c>
    </row>
    <row r="230" spans="1:7" x14ac:dyDescent="0.25">
      <c r="A230" s="5" t="s">
        <v>30</v>
      </c>
      <c r="B230" s="8">
        <v>50102140</v>
      </c>
      <c r="C230" s="10">
        <f>1042956+4755</f>
        <v>1047711</v>
      </c>
      <c r="D230" s="10">
        <f>1042956+4755</f>
        <v>1047711</v>
      </c>
      <c r="E230" s="10">
        <v>993702</v>
      </c>
      <c r="F230" s="10">
        <f t="shared" si="19"/>
        <v>0</v>
      </c>
      <c r="G230" s="10">
        <f t="shared" si="20"/>
        <v>54009</v>
      </c>
    </row>
    <row r="231" spans="1:7" x14ac:dyDescent="0.25">
      <c r="A231" s="5" t="s">
        <v>31</v>
      </c>
      <c r="B231" s="8">
        <v>50102150</v>
      </c>
      <c r="C231" s="10">
        <f>140000+10000</f>
        <v>150000</v>
      </c>
      <c r="D231" s="10">
        <f>140000+10000</f>
        <v>150000</v>
      </c>
      <c r="E231" s="10">
        <v>140000</v>
      </c>
      <c r="F231" s="10">
        <f t="shared" si="19"/>
        <v>0</v>
      </c>
      <c r="G231" s="10">
        <f t="shared" si="20"/>
        <v>10000</v>
      </c>
    </row>
    <row r="232" spans="1:7" x14ac:dyDescent="0.25">
      <c r="A232" s="5" t="s">
        <v>32</v>
      </c>
      <c r="B232" s="8">
        <v>50102990</v>
      </c>
      <c r="C232" s="10">
        <v>196000</v>
      </c>
      <c r="D232" s="10">
        <v>196000</v>
      </c>
      <c r="E232" s="10">
        <v>196000</v>
      </c>
      <c r="F232" s="10">
        <f t="shared" si="19"/>
        <v>0</v>
      </c>
      <c r="G232" s="10">
        <f t="shared" si="20"/>
        <v>0</v>
      </c>
    </row>
    <row r="233" spans="1:7" x14ac:dyDescent="0.25">
      <c r="A233" s="5" t="s">
        <v>33</v>
      </c>
      <c r="B233" s="8">
        <v>50102990</v>
      </c>
      <c r="C233" s="10">
        <v>993702</v>
      </c>
      <c r="D233" s="10">
        <v>993702</v>
      </c>
      <c r="E233" s="10">
        <v>986202</v>
      </c>
      <c r="F233" s="10">
        <f t="shared" si="19"/>
        <v>0</v>
      </c>
      <c r="G233" s="10">
        <f t="shared" si="20"/>
        <v>7500</v>
      </c>
    </row>
    <row r="234" spans="1:7" x14ac:dyDescent="0.25">
      <c r="A234" s="5" t="s">
        <v>34</v>
      </c>
      <c r="B234" s="8">
        <v>50103010</v>
      </c>
      <c r="C234" s="10">
        <f>1449684+22853</f>
        <v>1472537</v>
      </c>
      <c r="D234" s="10">
        <f>1449684+22853</f>
        <v>1472537</v>
      </c>
      <c r="E234" s="10">
        <v>1446175.72</v>
      </c>
      <c r="F234" s="10">
        <f t="shared" si="19"/>
        <v>0</v>
      </c>
      <c r="G234" s="10">
        <f t="shared" si="20"/>
        <v>26361.280000000028</v>
      </c>
    </row>
    <row r="235" spans="1:7" x14ac:dyDescent="0.25">
      <c r="A235" s="5" t="s">
        <v>35</v>
      </c>
      <c r="B235" s="8">
        <v>50103020</v>
      </c>
      <c r="C235" s="10">
        <f>67200+4000</f>
        <v>71200</v>
      </c>
      <c r="D235" s="10">
        <f>67200+4000</f>
        <v>71200</v>
      </c>
      <c r="E235" s="10">
        <v>67200</v>
      </c>
      <c r="F235" s="10">
        <f t="shared" si="19"/>
        <v>0</v>
      </c>
      <c r="G235" s="10">
        <f t="shared" si="20"/>
        <v>4000</v>
      </c>
    </row>
    <row r="236" spans="1:7" x14ac:dyDescent="0.25">
      <c r="A236" s="5" t="s">
        <v>36</v>
      </c>
      <c r="B236" s="8">
        <v>50103030</v>
      </c>
      <c r="C236" s="10">
        <f>301858+25595</f>
        <v>327453</v>
      </c>
      <c r="D236" s="10">
        <f>301858+25595</f>
        <v>327453</v>
      </c>
      <c r="E236" s="10">
        <v>301130.07</v>
      </c>
      <c r="F236" s="10">
        <f t="shared" si="19"/>
        <v>0</v>
      </c>
      <c r="G236" s="10">
        <f t="shared" si="20"/>
        <v>26322.929999999993</v>
      </c>
    </row>
    <row r="237" spans="1:7" x14ac:dyDescent="0.25">
      <c r="A237" s="5" t="s">
        <v>37</v>
      </c>
      <c r="B237" s="8">
        <v>50103040</v>
      </c>
      <c r="C237" s="10">
        <f>33600+2000</f>
        <v>35600</v>
      </c>
      <c r="D237" s="10">
        <f>33600+2000</f>
        <v>35600</v>
      </c>
      <c r="E237" s="10">
        <v>33600</v>
      </c>
      <c r="F237" s="10">
        <f t="shared" si="19"/>
        <v>0</v>
      </c>
      <c r="G237" s="10">
        <f t="shared" si="20"/>
        <v>2000</v>
      </c>
    </row>
    <row r="238" spans="1:7" x14ac:dyDescent="0.25">
      <c r="A238" s="5" t="s">
        <v>38</v>
      </c>
      <c r="B238" s="8">
        <v>50104990</v>
      </c>
      <c r="C238" s="10">
        <f>140000+20000</f>
        <v>160000</v>
      </c>
      <c r="D238" s="10">
        <f>140000+20000</f>
        <v>160000</v>
      </c>
      <c r="E238" s="10">
        <v>140000</v>
      </c>
      <c r="F238" s="10">
        <f t="shared" si="19"/>
        <v>0</v>
      </c>
      <c r="G238" s="10">
        <f t="shared" si="20"/>
        <v>20000</v>
      </c>
    </row>
    <row r="239" spans="1:7" x14ac:dyDescent="0.25">
      <c r="A239" s="5" t="s">
        <v>39</v>
      </c>
      <c r="B239" s="8">
        <v>50104990</v>
      </c>
      <c r="C239" s="10">
        <v>285078</v>
      </c>
      <c r="D239" s="10">
        <v>285078</v>
      </c>
      <c r="E239" s="10">
        <v>0</v>
      </c>
      <c r="F239" s="10">
        <f t="shared" si="19"/>
        <v>0</v>
      </c>
      <c r="G239" s="10">
        <f t="shared" si="20"/>
        <v>285078</v>
      </c>
    </row>
    <row r="240" spans="1:7" x14ac:dyDescent="0.25">
      <c r="A240" s="5" t="s">
        <v>20</v>
      </c>
      <c r="B240" s="8">
        <v>50104990</v>
      </c>
      <c r="C240" s="10">
        <v>4049666</v>
      </c>
      <c r="D240" s="10">
        <v>4049666</v>
      </c>
      <c r="E240" s="10">
        <v>2940208.73</v>
      </c>
      <c r="F240" s="10">
        <f t="shared" si="19"/>
        <v>0</v>
      </c>
      <c r="G240" s="10">
        <f t="shared" si="20"/>
        <v>1109457.27</v>
      </c>
    </row>
    <row r="241" spans="1:7" x14ac:dyDescent="0.25">
      <c r="B241" s="8"/>
    </row>
    <row r="242" spans="1:7" s="6" customFormat="1" x14ac:dyDescent="0.25">
      <c r="A242" s="6" t="s">
        <v>40</v>
      </c>
      <c r="B242" s="9">
        <v>200</v>
      </c>
      <c r="C242" s="11">
        <v>48498668</v>
      </c>
      <c r="D242" s="11">
        <v>48498668</v>
      </c>
      <c r="E242" s="11">
        <v>44668105.859999999</v>
      </c>
      <c r="F242" s="11">
        <f t="shared" ref="F242:F268" si="21">C242-D242</f>
        <v>0</v>
      </c>
      <c r="G242" s="11">
        <f t="shared" ref="G242:G268" si="22">D242-E242</f>
        <v>3830562.1400000006</v>
      </c>
    </row>
    <row r="243" spans="1:7" s="6" customFormat="1" x14ac:dyDescent="0.25">
      <c r="A243" s="5" t="s">
        <v>41</v>
      </c>
      <c r="B243" s="8">
        <v>50201010</v>
      </c>
      <c r="C243" s="10">
        <v>90000</v>
      </c>
      <c r="D243" s="10">
        <v>90000</v>
      </c>
      <c r="E243" s="10">
        <v>78460</v>
      </c>
      <c r="F243" s="10">
        <f t="shared" si="21"/>
        <v>0</v>
      </c>
      <c r="G243" s="10">
        <f t="shared" si="22"/>
        <v>11540</v>
      </c>
    </row>
    <row r="244" spans="1:7" x14ac:dyDescent="0.25">
      <c r="A244" s="5" t="s">
        <v>42</v>
      </c>
      <c r="B244" s="8">
        <v>50202010</v>
      </c>
      <c r="C244" s="10">
        <v>225000</v>
      </c>
      <c r="D244" s="10">
        <v>225000</v>
      </c>
      <c r="E244" s="10">
        <v>195843</v>
      </c>
      <c r="F244" s="10">
        <f t="shared" si="21"/>
        <v>0</v>
      </c>
      <c r="G244" s="10">
        <f t="shared" si="22"/>
        <v>29157</v>
      </c>
    </row>
    <row r="245" spans="1:7" x14ac:dyDescent="0.25">
      <c r="A245" s="5" t="s">
        <v>43</v>
      </c>
      <c r="B245" s="8">
        <v>50203010</v>
      </c>
      <c r="C245" s="10">
        <v>400000</v>
      </c>
      <c r="D245" s="10">
        <v>400000</v>
      </c>
      <c r="E245" s="10">
        <v>338997.8</v>
      </c>
      <c r="F245" s="10">
        <f t="shared" si="21"/>
        <v>0</v>
      </c>
      <c r="G245" s="10">
        <f t="shared" si="22"/>
        <v>61002.200000000012</v>
      </c>
    </row>
    <row r="246" spans="1:7" x14ac:dyDescent="0.25">
      <c r="A246" s="5" t="s">
        <v>74</v>
      </c>
      <c r="B246" s="8">
        <v>50203020</v>
      </c>
      <c r="C246" s="10">
        <v>60000</v>
      </c>
      <c r="D246" s="10">
        <v>60000</v>
      </c>
      <c r="E246" s="10">
        <v>58750</v>
      </c>
      <c r="F246" s="10">
        <f t="shared" si="21"/>
        <v>0</v>
      </c>
      <c r="G246" s="10">
        <f t="shared" si="22"/>
        <v>1250</v>
      </c>
    </row>
    <row r="247" spans="1:7" x14ac:dyDescent="0.25">
      <c r="A247" s="5" t="s">
        <v>75</v>
      </c>
      <c r="B247" s="8">
        <v>50203050</v>
      </c>
      <c r="C247" s="10">
        <f>1550000+1150000</f>
        <v>2700000</v>
      </c>
      <c r="D247" s="10">
        <f>1550000+1150000</f>
        <v>2700000</v>
      </c>
      <c r="E247" s="10">
        <f>1542975.3+1095936.05</f>
        <v>2638911.35</v>
      </c>
      <c r="F247" s="10">
        <f t="shared" si="21"/>
        <v>0</v>
      </c>
      <c r="G247" s="10">
        <f t="shared" si="22"/>
        <v>61088.649999999907</v>
      </c>
    </row>
    <row r="248" spans="1:7" x14ac:dyDescent="0.25">
      <c r="A248" s="5" t="s">
        <v>44</v>
      </c>
      <c r="B248" s="8">
        <v>50203070</v>
      </c>
      <c r="C248" s="10">
        <f>450000+280000</f>
        <v>730000</v>
      </c>
      <c r="D248" s="10">
        <f>450000+280000</f>
        <v>730000</v>
      </c>
      <c r="E248" s="10">
        <f>449986.2+100000</f>
        <v>549986.19999999995</v>
      </c>
      <c r="F248" s="10">
        <f t="shared" si="21"/>
        <v>0</v>
      </c>
      <c r="G248" s="10">
        <f t="shared" si="22"/>
        <v>180013.80000000005</v>
      </c>
    </row>
    <row r="249" spans="1:7" x14ac:dyDescent="0.25">
      <c r="A249" s="5" t="s">
        <v>45</v>
      </c>
      <c r="B249" s="8">
        <v>50203080</v>
      </c>
      <c r="C249" s="10">
        <f>7189000+100000</f>
        <v>7289000</v>
      </c>
      <c r="D249" s="10">
        <f>7189000+100000</f>
        <v>7289000</v>
      </c>
      <c r="E249" s="10">
        <f>7182396.45+61000</f>
        <v>7243396.4500000002</v>
      </c>
      <c r="F249" s="10">
        <f t="shared" si="21"/>
        <v>0</v>
      </c>
      <c r="G249" s="10">
        <f t="shared" si="22"/>
        <v>45603.549999999814</v>
      </c>
    </row>
    <row r="250" spans="1:7" x14ac:dyDescent="0.25">
      <c r="A250" s="5" t="s">
        <v>46</v>
      </c>
      <c r="B250" s="8">
        <v>50203090</v>
      </c>
      <c r="C250" s="10">
        <v>1546000</v>
      </c>
      <c r="D250" s="10">
        <v>1546000</v>
      </c>
      <c r="E250" s="10">
        <v>1387232.53</v>
      </c>
      <c r="F250" s="10">
        <f t="shared" si="21"/>
        <v>0</v>
      </c>
      <c r="G250" s="10">
        <f t="shared" si="22"/>
        <v>158767.46999999997</v>
      </c>
    </row>
    <row r="251" spans="1:7" x14ac:dyDescent="0.25">
      <c r="A251" s="5" t="s">
        <v>47</v>
      </c>
      <c r="B251" s="8">
        <v>50203210</v>
      </c>
      <c r="C251" s="10">
        <v>1500000</v>
      </c>
      <c r="D251" s="10">
        <v>1500000</v>
      </c>
      <c r="E251" s="10">
        <v>1287164.2</v>
      </c>
      <c r="F251" s="10">
        <f t="shared" si="21"/>
        <v>0</v>
      </c>
      <c r="G251" s="10">
        <f t="shared" si="22"/>
        <v>212835.80000000005</v>
      </c>
    </row>
    <row r="252" spans="1:7" x14ac:dyDescent="0.25">
      <c r="A252" s="5" t="s">
        <v>49</v>
      </c>
      <c r="B252" s="8">
        <v>50203990</v>
      </c>
      <c r="C252" s="10">
        <v>480000</v>
      </c>
      <c r="D252" s="10">
        <v>480000</v>
      </c>
      <c r="E252" s="10">
        <v>369812</v>
      </c>
      <c r="F252" s="10">
        <f t="shared" si="21"/>
        <v>0</v>
      </c>
      <c r="G252" s="10">
        <f t="shared" si="22"/>
        <v>110188</v>
      </c>
    </row>
    <row r="253" spans="1:7" x14ac:dyDescent="0.25">
      <c r="A253" s="5" t="s">
        <v>76</v>
      </c>
      <c r="B253" s="8">
        <v>50203990</v>
      </c>
      <c r="C253" s="10">
        <v>85000</v>
      </c>
      <c r="D253" s="10">
        <v>85000</v>
      </c>
      <c r="E253" s="10">
        <v>81713</v>
      </c>
      <c r="F253" s="10">
        <f t="shared" si="21"/>
        <v>0</v>
      </c>
      <c r="G253" s="10">
        <f t="shared" si="22"/>
        <v>3287</v>
      </c>
    </row>
    <row r="254" spans="1:7" x14ac:dyDescent="0.25">
      <c r="A254" s="5" t="s">
        <v>50</v>
      </c>
      <c r="B254" s="8">
        <v>50204010</v>
      </c>
      <c r="C254" s="10">
        <v>500</v>
      </c>
      <c r="D254" s="10">
        <v>500</v>
      </c>
      <c r="E254" s="10">
        <v>0</v>
      </c>
      <c r="F254" s="10">
        <f t="shared" si="21"/>
        <v>0</v>
      </c>
      <c r="G254" s="10">
        <f t="shared" si="22"/>
        <v>500</v>
      </c>
    </row>
    <row r="255" spans="1:7" x14ac:dyDescent="0.25">
      <c r="A255" s="5" t="s">
        <v>77</v>
      </c>
      <c r="B255" s="8">
        <v>50204020</v>
      </c>
      <c r="C255" s="10">
        <f>2100000+1170000</f>
        <v>3270000</v>
      </c>
      <c r="D255" s="10">
        <f>2100000+1170000</f>
        <v>3270000</v>
      </c>
      <c r="E255" s="10">
        <f>2100000+1066173.68</f>
        <v>3166173.6799999997</v>
      </c>
      <c r="F255" s="10">
        <f t="shared" si="21"/>
        <v>0</v>
      </c>
      <c r="G255" s="10">
        <f t="shared" si="22"/>
        <v>103826.3200000003</v>
      </c>
    </row>
    <row r="256" spans="1:7" x14ac:dyDescent="0.25">
      <c r="A256" s="5" t="s">
        <v>52</v>
      </c>
      <c r="B256" s="8">
        <v>50205020</v>
      </c>
      <c r="C256" s="10">
        <v>46500</v>
      </c>
      <c r="D256" s="10">
        <v>46500</v>
      </c>
      <c r="E256" s="10">
        <v>46500</v>
      </c>
      <c r="F256" s="10">
        <f t="shared" si="21"/>
        <v>0</v>
      </c>
      <c r="G256" s="10">
        <f t="shared" si="22"/>
        <v>0</v>
      </c>
    </row>
    <row r="257" spans="1:7" x14ac:dyDescent="0.25">
      <c r="A257" s="5" t="s">
        <v>78</v>
      </c>
      <c r="B257" s="8">
        <v>50205030</v>
      </c>
      <c r="C257" s="10">
        <v>50000</v>
      </c>
      <c r="D257" s="10">
        <v>50000</v>
      </c>
      <c r="E257" s="10">
        <v>27000</v>
      </c>
      <c r="F257" s="10">
        <f t="shared" si="21"/>
        <v>0</v>
      </c>
      <c r="G257" s="10">
        <f t="shared" si="22"/>
        <v>23000</v>
      </c>
    </row>
    <row r="258" spans="1:7" x14ac:dyDescent="0.25">
      <c r="A258" s="5" t="s">
        <v>87</v>
      </c>
      <c r="B258" s="8">
        <v>50212010</v>
      </c>
      <c r="C258" s="10">
        <v>500000</v>
      </c>
      <c r="D258" s="10">
        <v>500000</v>
      </c>
      <c r="E258" s="10">
        <v>500000</v>
      </c>
      <c r="F258" s="10">
        <f t="shared" si="21"/>
        <v>0</v>
      </c>
      <c r="G258" s="10">
        <f t="shared" si="22"/>
        <v>0</v>
      </c>
    </row>
    <row r="259" spans="1:7" x14ac:dyDescent="0.25">
      <c r="A259" s="5" t="s">
        <v>53</v>
      </c>
      <c r="B259" s="8">
        <v>50212990</v>
      </c>
      <c r="C259" s="10">
        <f>7472668+15095000+2950000</f>
        <v>25517668</v>
      </c>
      <c r="D259" s="10">
        <f>7472668+15095000+2950000</f>
        <v>25517668</v>
      </c>
      <c r="E259" s="10">
        <f>7470243.64+15007954.24+1483614.19</f>
        <v>23961812.07</v>
      </c>
      <c r="F259" s="10">
        <f t="shared" si="21"/>
        <v>0</v>
      </c>
      <c r="G259" s="10">
        <f t="shared" si="22"/>
        <v>1555855.9299999997</v>
      </c>
    </row>
    <row r="260" spans="1:7" x14ac:dyDescent="0.25">
      <c r="A260" s="5" t="s">
        <v>98</v>
      </c>
      <c r="B260" s="8">
        <v>50212990</v>
      </c>
      <c r="C260" s="10">
        <v>153000</v>
      </c>
      <c r="D260" s="10">
        <v>153000</v>
      </c>
      <c r="E260" s="10">
        <v>123200.58</v>
      </c>
      <c r="F260" s="10">
        <f t="shared" si="21"/>
        <v>0</v>
      </c>
      <c r="G260" s="10">
        <f t="shared" si="22"/>
        <v>29799.42</v>
      </c>
    </row>
    <row r="261" spans="1:7" x14ac:dyDescent="0.25">
      <c r="A261" s="5" t="s">
        <v>53</v>
      </c>
      <c r="B261" s="8">
        <v>50212990</v>
      </c>
      <c r="C261" s="10">
        <v>2500000</v>
      </c>
      <c r="D261" s="10">
        <v>2500000</v>
      </c>
      <c r="E261" s="10">
        <v>1720000</v>
      </c>
      <c r="F261" s="10">
        <f t="shared" si="21"/>
        <v>0</v>
      </c>
      <c r="G261" s="10">
        <f t="shared" si="22"/>
        <v>780000</v>
      </c>
    </row>
    <row r="262" spans="1:7" x14ac:dyDescent="0.25">
      <c r="A262" s="5" t="s">
        <v>80</v>
      </c>
      <c r="B262" s="8">
        <v>50213040</v>
      </c>
      <c r="C262" s="10">
        <f>400000+20000</f>
        <v>420000</v>
      </c>
      <c r="D262" s="10">
        <f>400000+20000</f>
        <v>420000</v>
      </c>
      <c r="E262" s="10">
        <v>340998</v>
      </c>
      <c r="F262" s="10">
        <f t="shared" si="21"/>
        <v>0</v>
      </c>
      <c r="G262" s="10">
        <f t="shared" si="22"/>
        <v>79002</v>
      </c>
    </row>
    <row r="263" spans="1:7" x14ac:dyDescent="0.25">
      <c r="A263" s="5" t="s">
        <v>55</v>
      </c>
      <c r="B263" s="8">
        <v>50213060</v>
      </c>
      <c r="C263" s="10">
        <f>300000+10000</f>
        <v>310000</v>
      </c>
      <c r="D263" s="10">
        <f>300000+10000</f>
        <v>310000</v>
      </c>
      <c r="E263" s="10">
        <v>262200</v>
      </c>
      <c r="F263" s="10">
        <f t="shared" si="21"/>
        <v>0</v>
      </c>
      <c r="G263" s="10">
        <f t="shared" si="22"/>
        <v>47800</v>
      </c>
    </row>
    <row r="264" spans="1:7" x14ac:dyDescent="0.25">
      <c r="A264" s="5" t="s">
        <v>56</v>
      </c>
      <c r="B264" s="8">
        <v>50216010</v>
      </c>
      <c r="C264" s="10">
        <v>230000</v>
      </c>
      <c r="D264" s="10">
        <v>230000</v>
      </c>
      <c r="E264" s="10">
        <v>210080</v>
      </c>
      <c r="F264" s="10">
        <f t="shared" si="21"/>
        <v>0</v>
      </c>
      <c r="G264" s="10">
        <f t="shared" si="22"/>
        <v>19920</v>
      </c>
    </row>
    <row r="265" spans="1:7" x14ac:dyDescent="0.25">
      <c r="A265" s="5" t="s">
        <v>57</v>
      </c>
      <c r="B265" s="8">
        <v>50216020</v>
      </c>
      <c r="C265" s="10">
        <v>89000</v>
      </c>
      <c r="D265" s="10">
        <v>89000</v>
      </c>
      <c r="E265" s="10">
        <v>79875</v>
      </c>
      <c r="F265" s="10">
        <f t="shared" si="21"/>
        <v>0</v>
      </c>
      <c r="G265" s="10">
        <f t="shared" si="22"/>
        <v>9125</v>
      </c>
    </row>
    <row r="266" spans="1:7" x14ac:dyDescent="0.25">
      <c r="A266" s="5" t="s">
        <v>58</v>
      </c>
      <c r="B266" s="8">
        <v>50299020</v>
      </c>
      <c r="C266" s="10">
        <v>5000</v>
      </c>
      <c r="D266" s="10">
        <v>5000</v>
      </c>
      <c r="E266" s="10">
        <v>0</v>
      </c>
      <c r="F266" s="10">
        <f t="shared" si="21"/>
        <v>0</v>
      </c>
      <c r="G266" s="10">
        <f t="shared" si="22"/>
        <v>5000</v>
      </c>
    </row>
    <row r="267" spans="1:7" x14ac:dyDescent="0.25">
      <c r="A267" s="5" t="s">
        <v>86</v>
      </c>
      <c r="B267" s="8">
        <v>50299060</v>
      </c>
      <c r="C267" s="10">
        <v>2000</v>
      </c>
      <c r="D267" s="10">
        <v>2000</v>
      </c>
      <c r="E267" s="10">
        <v>0</v>
      </c>
      <c r="F267" s="10">
        <f t="shared" si="21"/>
        <v>0</v>
      </c>
      <c r="G267" s="10">
        <f t="shared" si="22"/>
        <v>2000</v>
      </c>
    </row>
    <row r="268" spans="1:7" x14ac:dyDescent="0.25">
      <c r="A268" s="5" t="s">
        <v>60</v>
      </c>
      <c r="B268" s="8">
        <v>50299990</v>
      </c>
      <c r="C268" s="10">
        <v>300000</v>
      </c>
      <c r="D268" s="10">
        <v>300000</v>
      </c>
      <c r="E268" s="10">
        <v>0</v>
      </c>
      <c r="F268" s="10">
        <f t="shared" si="21"/>
        <v>0</v>
      </c>
      <c r="G268" s="10">
        <f t="shared" si="22"/>
        <v>300000</v>
      </c>
    </row>
    <row r="269" spans="1:7" x14ac:dyDescent="0.25">
      <c r="B269" s="8"/>
    </row>
    <row r="270" spans="1:7" s="6" customFormat="1" x14ac:dyDescent="0.25">
      <c r="A270" s="6" t="s">
        <v>61</v>
      </c>
      <c r="B270" s="9">
        <v>300</v>
      </c>
      <c r="C270" s="11">
        <v>8630000</v>
      </c>
      <c r="D270" s="11">
        <v>8630000</v>
      </c>
      <c r="E270" s="11">
        <v>368000</v>
      </c>
      <c r="F270" s="11">
        <f t="shared" ref="F270:G276" si="23">C270-D270</f>
        <v>0</v>
      </c>
      <c r="G270" s="11">
        <f t="shared" si="23"/>
        <v>8262000</v>
      </c>
    </row>
    <row r="271" spans="1:7" s="16" customFormat="1" ht="30" x14ac:dyDescent="0.25">
      <c r="A271" s="3" t="s">
        <v>103</v>
      </c>
      <c r="B271" s="1">
        <v>10705070</v>
      </c>
      <c r="C271" s="4">
        <v>200000</v>
      </c>
      <c r="D271" s="4">
        <v>200000</v>
      </c>
      <c r="E271" s="4">
        <v>199000</v>
      </c>
      <c r="F271" s="4">
        <f t="shared" si="23"/>
        <v>0</v>
      </c>
      <c r="G271" s="4">
        <f t="shared" si="23"/>
        <v>1000</v>
      </c>
    </row>
    <row r="272" spans="1:7" x14ac:dyDescent="0.25">
      <c r="A272" s="5" t="s">
        <v>104</v>
      </c>
      <c r="B272" s="8">
        <v>10705070</v>
      </c>
      <c r="C272" s="10">
        <v>170000</v>
      </c>
      <c r="D272" s="10">
        <v>170000</v>
      </c>
      <c r="E272" s="10">
        <v>169000</v>
      </c>
      <c r="F272" s="10">
        <f t="shared" si="23"/>
        <v>0</v>
      </c>
      <c r="G272" s="10">
        <f t="shared" si="23"/>
        <v>1000</v>
      </c>
    </row>
    <row r="273" spans="1:7" x14ac:dyDescent="0.25">
      <c r="A273" s="5" t="s">
        <v>90</v>
      </c>
      <c r="B273" s="8">
        <v>10705110</v>
      </c>
      <c r="C273" s="10">
        <v>1415000</v>
      </c>
      <c r="D273" s="10">
        <v>1415000</v>
      </c>
      <c r="E273" s="10">
        <v>0</v>
      </c>
      <c r="F273" s="10">
        <f t="shared" si="23"/>
        <v>0</v>
      </c>
      <c r="G273" s="10">
        <f t="shared" si="23"/>
        <v>1415000</v>
      </c>
    </row>
    <row r="274" spans="1:7" x14ac:dyDescent="0.25">
      <c r="A274" s="5" t="s">
        <v>105</v>
      </c>
      <c r="B274" s="8">
        <v>10707010</v>
      </c>
      <c r="C274" s="10">
        <v>60000</v>
      </c>
      <c r="D274" s="10">
        <v>60000</v>
      </c>
      <c r="E274" s="10">
        <v>0</v>
      </c>
      <c r="F274" s="10">
        <f t="shared" si="23"/>
        <v>0</v>
      </c>
      <c r="G274" s="10">
        <f t="shared" si="23"/>
        <v>60000</v>
      </c>
    </row>
    <row r="275" spans="1:7" x14ac:dyDescent="0.25">
      <c r="A275" s="5" t="s">
        <v>106</v>
      </c>
      <c r="B275" s="8">
        <v>10705020</v>
      </c>
      <c r="C275" s="10">
        <v>340000</v>
      </c>
      <c r="D275" s="10">
        <v>340000</v>
      </c>
      <c r="E275" s="10">
        <v>0</v>
      </c>
      <c r="F275" s="10">
        <f t="shared" si="23"/>
        <v>0</v>
      </c>
      <c r="G275" s="10">
        <f t="shared" si="23"/>
        <v>340000</v>
      </c>
    </row>
    <row r="276" spans="1:7" x14ac:dyDescent="0.25">
      <c r="A276" s="5" t="s">
        <v>99</v>
      </c>
      <c r="B276" s="8">
        <v>10705110</v>
      </c>
      <c r="C276" s="10">
        <v>6445000</v>
      </c>
      <c r="D276" s="10">
        <v>6445000</v>
      </c>
      <c r="E276" s="10">
        <v>0</v>
      </c>
      <c r="F276" s="10">
        <f t="shared" si="23"/>
        <v>0</v>
      </c>
      <c r="G276" s="10">
        <f t="shared" si="23"/>
        <v>6445000</v>
      </c>
    </row>
    <row r="277" spans="1:7" x14ac:dyDescent="0.25">
      <c r="B277" s="8"/>
    </row>
    <row r="278" spans="1:7" x14ac:dyDescent="0.25">
      <c r="A278" s="6" t="s">
        <v>107</v>
      </c>
      <c r="B278" s="9" t="s">
        <v>108</v>
      </c>
      <c r="C278" s="11">
        <v>125835600</v>
      </c>
      <c r="D278" s="11">
        <v>125835600</v>
      </c>
      <c r="E278" s="11">
        <v>100478476.45</v>
      </c>
      <c r="F278" s="11">
        <f t="shared" ref="F278:F300" si="24">C278-D278</f>
        <v>0</v>
      </c>
      <c r="G278" s="11">
        <f t="shared" ref="G278:G300" si="25">D278-E278</f>
        <v>25357123.549999997</v>
      </c>
    </row>
    <row r="279" spans="1:7" s="6" customFormat="1" x14ac:dyDescent="0.25">
      <c r="A279" s="6" t="s">
        <v>19</v>
      </c>
      <c r="B279" s="9">
        <v>100</v>
      </c>
      <c r="C279" s="11">
        <v>54963528</v>
      </c>
      <c r="D279" s="11">
        <v>54963528</v>
      </c>
      <c r="E279" s="11">
        <v>46238842.170000002</v>
      </c>
      <c r="F279" s="11">
        <f t="shared" si="24"/>
        <v>0</v>
      </c>
      <c r="G279" s="11">
        <f t="shared" si="25"/>
        <v>8724685.8299999982</v>
      </c>
    </row>
    <row r="280" spans="1:7" s="6" customFormat="1" x14ac:dyDescent="0.25">
      <c r="A280" s="5" t="s">
        <v>21</v>
      </c>
      <c r="B280" s="8">
        <v>50101010</v>
      </c>
      <c r="C280" s="10">
        <f>11876046+273775</f>
        <v>12149821</v>
      </c>
      <c r="D280" s="10">
        <f>11876046+273775</f>
        <v>12149821</v>
      </c>
      <c r="E280" s="10">
        <v>11771139.880000001</v>
      </c>
      <c r="F280" s="10">
        <f t="shared" si="24"/>
        <v>0</v>
      </c>
      <c r="G280" s="10">
        <f t="shared" si="25"/>
        <v>378681.11999999918</v>
      </c>
    </row>
    <row r="281" spans="1:7" x14ac:dyDescent="0.25">
      <c r="A281" s="5" t="s">
        <v>65</v>
      </c>
      <c r="B281" s="8">
        <v>50101020</v>
      </c>
      <c r="C281" s="10">
        <v>27294862</v>
      </c>
      <c r="D281" s="10">
        <v>27294862</v>
      </c>
      <c r="E281" s="10">
        <v>22696587.850000001</v>
      </c>
      <c r="F281" s="10">
        <f t="shared" si="24"/>
        <v>0</v>
      </c>
      <c r="G281" s="10">
        <f t="shared" si="25"/>
        <v>4598274.1499999985</v>
      </c>
    </row>
    <row r="282" spans="1:7" x14ac:dyDescent="0.25">
      <c r="A282" s="5" t="s">
        <v>23</v>
      </c>
      <c r="B282" s="8">
        <v>50102010</v>
      </c>
      <c r="C282" s="10">
        <f>672000+20000</f>
        <v>692000</v>
      </c>
      <c r="D282" s="10">
        <f>672000+20000</f>
        <v>692000</v>
      </c>
      <c r="E282" s="10">
        <v>670727.27</v>
      </c>
      <c r="F282" s="10">
        <f t="shared" si="24"/>
        <v>0</v>
      </c>
      <c r="G282" s="10">
        <f t="shared" si="25"/>
        <v>21272.729999999981</v>
      </c>
    </row>
    <row r="283" spans="1:7" x14ac:dyDescent="0.25">
      <c r="A283" s="5" t="s">
        <v>24</v>
      </c>
      <c r="B283" s="8">
        <v>50102020</v>
      </c>
      <c r="C283" s="10">
        <v>60000</v>
      </c>
      <c r="D283" s="10">
        <v>60000</v>
      </c>
      <c r="E283" s="10">
        <v>60000</v>
      </c>
      <c r="F283" s="10">
        <f t="shared" si="24"/>
        <v>0</v>
      </c>
      <c r="G283" s="10">
        <f t="shared" si="25"/>
        <v>0</v>
      </c>
    </row>
    <row r="284" spans="1:7" x14ac:dyDescent="0.25">
      <c r="A284" s="5" t="s">
        <v>25</v>
      </c>
      <c r="B284" s="8">
        <v>50102030</v>
      </c>
      <c r="C284" s="10">
        <v>20000</v>
      </c>
      <c r="D284" s="10">
        <v>20000</v>
      </c>
      <c r="E284" s="10">
        <v>2375</v>
      </c>
      <c r="F284" s="10">
        <f t="shared" si="24"/>
        <v>0</v>
      </c>
      <c r="G284" s="10">
        <f t="shared" si="25"/>
        <v>17625</v>
      </c>
    </row>
    <row r="285" spans="1:7" x14ac:dyDescent="0.25">
      <c r="A285" s="5" t="s">
        <v>26</v>
      </c>
      <c r="B285" s="8">
        <v>50102040</v>
      </c>
      <c r="C285" s="10">
        <v>196000</v>
      </c>
      <c r="D285" s="10">
        <v>196000</v>
      </c>
      <c r="E285" s="10">
        <v>196000</v>
      </c>
      <c r="F285" s="10">
        <f t="shared" si="24"/>
        <v>0</v>
      </c>
      <c r="G285" s="10">
        <f t="shared" si="25"/>
        <v>0</v>
      </c>
    </row>
    <row r="286" spans="1:7" x14ac:dyDescent="0.25">
      <c r="A286" s="5" t="s">
        <v>27</v>
      </c>
      <c r="B286" s="8">
        <v>50102050</v>
      </c>
      <c r="C286" s="10">
        <f>504000+30000</f>
        <v>534000</v>
      </c>
      <c r="D286" s="10">
        <f>504000+30000</f>
        <v>534000</v>
      </c>
      <c r="E286" s="10">
        <v>289100</v>
      </c>
      <c r="F286" s="10">
        <f t="shared" si="24"/>
        <v>0</v>
      </c>
      <c r="G286" s="10">
        <f t="shared" si="25"/>
        <v>244900</v>
      </c>
    </row>
    <row r="287" spans="1:7" x14ac:dyDescent="0.25">
      <c r="A287" s="5" t="s">
        <v>28</v>
      </c>
      <c r="B287" s="8">
        <v>50102060</v>
      </c>
      <c r="C287" s="10">
        <f>50400+3000</f>
        <v>53400</v>
      </c>
      <c r="D287" s="10">
        <f>50400+3000</f>
        <v>53400</v>
      </c>
      <c r="E287" s="10">
        <v>38795.72</v>
      </c>
      <c r="F287" s="10">
        <f t="shared" si="24"/>
        <v>0</v>
      </c>
      <c r="G287" s="10">
        <f t="shared" si="25"/>
        <v>14604.279999999999</v>
      </c>
    </row>
    <row r="288" spans="1:7" x14ac:dyDescent="0.25">
      <c r="A288" s="5" t="s">
        <v>29</v>
      </c>
      <c r="B288" s="8">
        <v>50102110</v>
      </c>
      <c r="C288" s="10">
        <f>2907069+255944</f>
        <v>3163013</v>
      </c>
      <c r="D288" s="10">
        <f>2907069+255944</f>
        <v>3163013</v>
      </c>
      <c r="E288" s="10">
        <v>2553697.38</v>
      </c>
      <c r="F288" s="10">
        <f t="shared" si="24"/>
        <v>0</v>
      </c>
      <c r="G288" s="10">
        <f t="shared" si="25"/>
        <v>609315.62000000011</v>
      </c>
    </row>
    <row r="289" spans="1:7" x14ac:dyDescent="0.25">
      <c r="A289" s="5" t="s">
        <v>96</v>
      </c>
      <c r="B289" s="8">
        <v>50102130</v>
      </c>
      <c r="C289" s="10">
        <v>3000</v>
      </c>
      <c r="D289" s="10">
        <v>3000</v>
      </c>
      <c r="E289" s="10">
        <v>0</v>
      </c>
      <c r="F289" s="10">
        <f t="shared" si="24"/>
        <v>0</v>
      </c>
      <c r="G289" s="10">
        <f t="shared" si="25"/>
        <v>3000</v>
      </c>
    </row>
    <row r="290" spans="1:7" x14ac:dyDescent="0.25">
      <c r="A290" s="5" t="s">
        <v>30</v>
      </c>
      <c r="B290" s="8">
        <v>50102140</v>
      </c>
      <c r="C290" s="10">
        <f>1018577+4755</f>
        <v>1023332</v>
      </c>
      <c r="D290" s="10">
        <f>1018577+4755</f>
        <v>1023332</v>
      </c>
      <c r="E290" s="10">
        <v>969023</v>
      </c>
      <c r="F290" s="10">
        <f t="shared" si="24"/>
        <v>0</v>
      </c>
      <c r="G290" s="10">
        <f t="shared" si="25"/>
        <v>54309</v>
      </c>
    </row>
    <row r="291" spans="1:7" x14ac:dyDescent="0.25">
      <c r="A291" s="5" t="s">
        <v>31</v>
      </c>
      <c r="B291" s="8">
        <v>50102150</v>
      </c>
      <c r="C291" s="10">
        <f>140000+10000</f>
        <v>150000</v>
      </c>
      <c r="D291" s="10">
        <f>140000+10000</f>
        <v>150000</v>
      </c>
      <c r="E291" s="10">
        <v>140000</v>
      </c>
      <c r="F291" s="10">
        <f t="shared" si="24"/>
        <v>0</v>
      </c>
      <c r="G291" s="10">
        <f t="shared" si="25"/>
        <v>10000</v>
      </c>
    </row>
    <row r="292" spans="1:7" x14ac:dyDescent="0.25">
      <c r="A292" s="5" t="s">
        <v>32</v>
      </c>
      <c r="B292" s="8">
        <v>50102990</v>
      </c>
      <c r="C292" s="10">
        <v>196000</v>
      </c>
      <c r="D292" s="10">
        <v>196000</v>
      </c>
      <c r="E292" s="10">
        <v>196000</v>
      </c>
      <c r="F292" s="10">
        <f t="shared" si="24"/>
        <v>0</v>
      </c>
      <c r="G292" s="10">
        <f t="shared" si="25"/>
        <v>0</v>
      </c>
    </row>
    <row r="293" spans="1:7" x14ac:dyDescent="0.25">
      <c r="A293" s="5" t="s">
        <v>33</v>
      </c>
      <c r="B293" s="8">
        <v>50102990</v>
      </c>
      <c r="C293" s="10">
        <v>969023</v>
      </c>
      <c r="D293" s="10">
        <v>969023</v>
      </c>
      <c r="E293" s="10">
        <v>969023</v>
      </c>
      <c r="F293" s="10">
        <f t="shared" si="24"/>
        <v>0</v>
      </c>
      <c r="G293" s="10">
        <f t="shared" si="25"/>
        <v>0</v>
      </c>
    </row>
    <row r="294" spans="1:7" x14ac:dyDescent="0.25">
      <c r="A294" s="5" t="s">
        <v>34</v>
      </c>
      <c r="B294" s="8">
        <v>50103010</v>
      </c>
      <c r="C294" s="10">
        <f>1425127+22853</f>
        <v>1447980</v>
      </c>
      <c r="D294" s="10">
        <f>1425127+22853</f>
        <v>1447980</v>
      </c>
      <c r="E294" s="10">
        <v>1420758.32</v>
      </c>
      <c r="F294" s="10">
        <f t="shared" si="24"/>
        <v>0</v>
      </c>
      <c r="G294" s="10">
        <f t="shared" si="25"/>
        <v>27221.679999999935</v>
      </c>
    </row>
    <row r="295" spans="1:7" x14ac:dyDescent="0.25">
      <c r="A295" s="5" t="s">
        <v>35</v>
      </c>
      <c r="B295" s="8">
        <v>50103020</v>
      </c>
      <c r="C295" s="10">
        <f>67200+4000</f>
        <v>71200</v>
      </c>
      <c r="D295" s="10">
        <f>67200+4000</f>
        <v>71200</v>
      </c>
      <c r="E295" s="10">
        <v>67200</v>
      </c>
      <c r="F295" s="10">
        <f t="shared" si="24"/>
        <v>0</v>
      </c>
      <c r="G295" s="10">
        <f t="shared" si="25"/>
        <v>4000</v>
      </c>
    </row>
    <row r="296" spans="1:7" x14ac:dyDescent="0.25">
      <c r="A296" s="5" t="s">
        <v>36</v>
      </c>
      <c r="B296" s="8">
        <v>50103030</v>
      </c>
      <c r="C296" s="10">
        <f>296546+25595</f>
        <v>322141</v>
      </c>
      <c r="D296" s="10">
        <f>296546+25595</f>
        <v>322141</v>
      </c>
      <c r="E296" s="10">
        <v>295636.34000000003</v>
      </c>
      <c r="F296" s="10">
        <f t="shared" si="24"/>
        <v>0</v>
      </c>
      <c r="G296" s="10">
        <f t="shared" si="25"/>
        <v>26504.659999999974</v>
      </c>
    </row>
    <row r="297" spans="1:7" x14ac:dyDescent="0.25">
      <c r="A297" s="5" t="s">
        <v>37</v>
      </c>
      <c r="B297" s="8">
        <v>50103040</v>
      </c>
      <c r="C297" s="10">
        <f>33600+2000</f>
        <v>35600</v>
      </c>
      <c r="D297" s="10">
        <f>33600+2000</f>
        <v>35600</v>
      </c>
      <c r="E297" s="10">
        <v>33600</v>
      </c>
      <c r="F297" s="10">
        <f t="shared" si="24"/>
        <v>0</v>
      </c>
      <c r="G297" s="10">
        <f t="shared" si="25"/>
        <v>2000</v>
      </c>
    </row>
    <row r="298" spans="1:7" x14ac:dyDescent="0.25">
      <c r="A298" s="5" t="s">
        <v>38</v>
      </c>
      <c r="B298" s="8">
        <v>50104990</v>
      </c>
      <c r="C298" s="10">
        <f>140000+20000</f>
        <v>160000</v>
      </c>
      <c r="D298" s="10">
        <f>140000+20000</f>
        <v>160000</v>
      </c>
      <c r="E298" s="10">
        <v>140000</v>
      </c>
      <c r="F298" s="10">
        <f t="shared" si="24"/>
        <v>0</v>
      </c>
      <c r="G298" s="10">
        <f t="shared" si="25"/>
        <v>20000</v>
      </c>
    </row>
    <row r="299" spans="1:7" x14ac:dyDescent="0.25">
      <c r="A299" s="5" t="s">
        <v>39</v>
      </c>
      <c r="B299" s="8">
        <v>50104990</v>
      </c>
      <c r="C299" s="10">
        <v>285078</v>
      </c>
      <c r="D299" s="10">
        <v>285078</v>
      </c>
      <c r="E299" s="10">
        <v>279473.26</v>
      </c>
      <c r="F299" s="10">
        <f t="shared" si="24"/>
        <v>0</v>
      </c>
      <c r="G299" s="10">
        <f t="shared" si="25"/>
        <v>5604.7399999999907</v>
      </c>
    </row>
    <row r="300" spans="1:7" x14ac:dyDescent="0.25">
      <c r="A300" s="5" t="s">
        <v>20</v>
      </c>
      <c r="B300" s="8">
        <v>50104990</v>
      </c>
      <c r="C300" s="10">
        <v>6137078</v>
      </c>
      <c r="D300" s="10">
        <v>6137078</v>
      </c>
      <c r="E300" s="10">
        <v>3449705.15</v>
      </c>
      <c r="F300" s="10">
        <f t="shared" si="24"/>
        <v>0</v>
      </c>
      <c r="G300" s="10">
        <f t="shared" si="25"/>
        <v>2687372.85</v>
      </c>
    </row>
    <row r="301" spans="1:7" x14ac:dyDescent="0.25">
      <c r="B301" s="8"/>
    </row>
    <row r="302" spans="1:7" s="6" customFormat="1" x14ac:dyDescent="0.25">
      <c r="A302" s="6" t="s">
        <v>40</v>
      </c>
      <c r="B302" s="9">
        <v>200</v>
      </c>
      <c r="C302" s="11">
        <v>63335472</v>
      </c>
      <c r="D302" s="11">
        <v>63335472</v>
      </c>
      <c r="E302" s="11">
        <v>54239634.280000001</v>
      </c>
      <c r="F302" s="11">
        <f t="shared" ref="F302:F329" si="26">C302-D302</f>
        <v>0</v>
      </c>
      <c r="G302" s="11">
        <f t="shared" ref="G302:G329" si="27">D302-E302</f>
        <v>9095837.7199999988</v>
      </c>
    </row>
    <row r="303" spans="1:7" x14ac:dyDescent="0.25">
      <c r="A303" s="5" t="s">
        <v>41</v>
      </c>
      <c r="B303" s="8">
        <v>50201010</v>
      </c>
      <c r="C303" s="10">
        <f>120000+50000</f>
        <v>170000</v>
      </c>
      <c r="D303" s="10">
        <f>120000+50000</f>
        <v>170000</v>
      </c>
      <c r="E303" s="10">
        <f>87003.04+46655.1</f>
        <v>133658.13999999998</v>
      </c>
      <c r="F303" s="10">
        <f t="shared" si="26"/>
        <v>0</v>
      </c>
      <c r="G303" s="10">
        <f t="shared" si="27"/>
        <v>36341.860000000015</v>
      </c>
    </row>
    <row r="304" spans="1:7" x14ac:dyDescent="0.25">
      <c r="A304" s="5" t="s">
        <v>42</v>
      </c>
      <c r="B304" s="8">
        <v>50202010</v>
      </c>
      <c r="C304" s="10">
        <v>70000</v>
      </c>
      <c r="D304" s="10">
        <v>70000</v>
      </c>
      <c r="E304" s="10">
        <v>60500</v>
      </c>
      <c r="F304" s="10">
        <f t="shared" si="26"/>
        <v>0</v>
      </c>
      <c r="G304" s="10">
        <f t="shared" si="27"/>
        <v>9500</v>
      </c>
    </row>
    <row r="305" spans="1:7" x14ac:dyDescent="0.25">
      <c r="A305" s="5" t="s">
        <v>43</v>
      </c>
      <c r="B305" s="8">
        <v>50203010</v>
      </c>
      <c r="C305" s="10">
        <f>400000+400000</f>
        <v>800000</v>
      </c>
      <c r="D305" s="10">
        <f>400000+400000</f>
        <v>800000</v>
      </c>
      <c r="E305" s="10">
        <f>393726+374780</f>
        <v>768506</v>
      </c>
      <c r="F305" s="10">
        <f t="shared" si="26"/>
        <v>0</v>
      </c>
      <c r="G305" s="10">
        <f t="shared" si="27"/>
        <v>31494</v>
      </c>
    </row>
    <row r="306" spans="1:7" x14ac:dyDescent="0.25">
      <c r="A306" s="5" t="s">
        <v>74</v>
      </c>
      <c r="B306" s="8">
        <v>50203020</v>
      </c>
      <c r="C306" s="10">
        <v>82000</v>
      </c>
      <c r="D306" s="10">
        <v>82000</v>
      </c>
      <c r="E306" s="10">
        <v>63387.5</v>
      </c>
      <c r="F306" s="10">
        <f t="shared" si="26"/>
        <v>0</v>
      </c>
      <c r="G306" s="10">
        <f t="shared" si="27"/>
        <v>18612.5</v>
      </c>
    </row>
    <row r="307" spans="1:7" x14ac:dyDescent="0.25">
      <c r="A307" s="5" t="s">
        <v>75</v>
      </c>
      <c r="B307" s="8">
        <v>50203050</v>
      </c>
      <c r="C307" s="10">
        <f>2389000+80000</f>
        <v>2469000</v>
      </c>
      <c r="D307" s="10">
        <f>2389000+80000</f>
        <v>2469000</v>
      </c>
      <c r="E307" s="10">
        <v>2353950</v>
      </c>
      <c r="F307" s="10">
        <f t="shared" si="26"/>
        <v>0</v>
      </c>
      <c r="G307" s="10">
        <f t="shared" si="27"/>
        <v>115050</v>
      </c>
    </row>
    <row r="308" spans="1:7" x14ac:dyDescent="0.25">
      <c r="A308" s="5" t="s">
        <v>44</v>
      </c>
      <c r="B308" s="8">
        <v>50203070</v>
      </c>
      <c r="C308" s="10">
        <f>950000+700000+200000</f>
        <v>1850000</v>
      </c>
      <c r="D308" s="10">
        <f>950000+700000+200000</f>
        <v>1850000</v>
      </c>
      <c r="E308" s="10">
        <f>799999.55+700000+150000</f>
        <v>1649999.55</v>
      </c>
      <c r="F308" s="10">
        <f t="shared" si="26"/>
        <v>0</v>
      </c>
      <c r="G308" s="10">
        <f t="shared" si="27"/>
        <v>200000.44999999995</v>
      </c>
    </row>
    <row r="309" spans="1:7" x14ac:dyDescent="0.25">
      <c r="A309" s="5" t="s">
        <v>45</v>
      </c>
      <c r="B309" s="8">
        <v>50203080</v>
      </c>
      <c r="C309" s="10">
        <f>4985500+3965000</f>
        <v>8950500</v>
      </c>
      <c r="D309" s="10">
        <f>4985500+3965000</f>
        <v>8950500</v>
      </c>
      <c r="E309" s="10">
        <f>4980872+3934053</f>
        <v>8914925</v>
      </c>
      <c r="F309" s="10">
        <f t="shared" si="26"/>
        <v>0</v>
      </c>
      <c r="G309" s="10">
        <f t="shared" si="27"/>
        <v>35575</v>
      </c>
    </row>
    <row r="310" spans="1:7" x14ac:dyDescent="0.25">
      <c r="A310" s="5" t="s">
        <v>46</v>
      </c>
      <c r="B310" s="8">
        <v>50203090</v>
      </c>
      <c r="C310" s="10">
        <v>1800000</v>
      </c>
      <c r="D310" s="10">
        <v>1800000</v>
      </c>
      <c r="E310" s="10">
        <v>1781818.76</v>
      </c>
      <c r="F310" s="10">
        <f t="shared" si="26"/>
        <v>0</v>
      </c>
      <c r="G310" s="10">
        <f t="shared" si="27"/>
        <v>18181.239999999991</v>
      </c>
    </row>
    <row r="311" spans="1:7" x14ac:dyDescent="0.25">
      <c r="A311" s="5" t="s">
        <v>47</v>
      </c>
      <c r="B311" s="8">
        <v>50203210</v>
      </c>
      <c r="C311" s="10">
        <f>129500+500000</f>
        <v>629500</v>
      </c>
      <c r="D311" s="10">
        <f>129500+500000</f>
        <v>629500</v>
      </c>
      <c r="E311" s="10">
        <f>128379+468517.45</f>
        <v>596896.44999999995</v>
      </c>
      <c r="F311" s="10">
        <f t="shared" si="26"/>
        <v>0</v>
      </c>
      <c r="G311" s="10">
        <f t="shared" si="27"/>
        <v>32603.550000000047</v>
      </c>
    </row>
    <row r="312" spans="1:7" x14ac:dyDescent="0.25">
      <c r="A312" s="5" t="s">
        <v>48</v>
      </c>
      <c r="B312" s="8">
        <v>50203220</v>
      </c>
      <c r="C312" s="10">
        <v>85000</v>
      </c>
      <c r="D312" s="10">
        <v>85000</v>
      </c>
      <c r="E312" s="10">
        <v>82790</v>
      </c>
      <c r="F312" s="10">
        <f t="shared" si="26"/>
        <v>0</v>
      </c>
      <c r="G312" s="10">
        <f t="shared" si="27"/>
        <v>2210</v>
      </c>
    </row>
    <row r="313" spans="1:7" x14ac:dyDescent="0.25">
      <c r="A313" s="5" t="s">
        <v>49</v>
      </c>
      <c r="B313" s="8">
        <v>50203990</v>
      </c>
      <c r="C313" s="10">
        <f>400000+400000</f>
        <v>800000</v>
      </c>
      <c r="D313" s="10">
        <f>400000+400000</f>
        <v>800000</v>
      </c>
      <c r="E313" s="10">
        <f>397818.75+397489</f>
        <v>795307.75</v>
      </c>
      <c r="F313" s="10">
        <f t="shared" si="26"/>
        <v>0</v>
      </c>
      <c r="G313" s="10">
        <f t="shared" si="27"/>
        <v>4692.25</v>
      </c>
    </row>
    <row r="314" spans="1:7" x14ac:dyDescent="0.25">
      <c r="A314" s="5" t="s">
        <v>76</v>
      </c>
      <c r="B314" s="8">
        <v>50203990</v>
      </c>
      <c r="C314" s="10">
        <v>172800</v>
      </c>
      <c r="D314" s="10">
        <v>172800</v>
      </c>
      <c r="E314" s="10">
        <v>141090</v>
      </c>
      <c r="F314" s="10">
        <f t="shared" si="26"/>
        <v>0</v>
      </c>
      <c r="G314" s="10">
        <f t="shared" si="27"/>
        <v>31710</v>
      </c>
    </row>
    <row r="315" spans="1:7" x14ac:dyDescent="0.25">
      <c r="A315" s="5" t="s">
        <v>50</v>
      </c>
      <c r="B315" s="8">
        <v>50204010</v>
      </c>
      <c r="C315" s="10">
        <v>418500</v>
      </c>
      <c r="D315" s="10">
        <v>418500</v>
      </c>
      <c r="E315" s="10">
        <v>391520</v>
      </c>
      <c r="F315" s="10">
        <f t="shared" si="26"/>
        <v>0</v>
      </c>
      <c r="G315" s="10">
        <f t="shared" si="27"/>
        <v>26980</v>
      </c>
    </row>
    <row r="316" spans="1:7" x14ac:dyDescent="0.25">
      <c r="A316" s="5" t="s">
        <v>77</v>
      </c>
      <c r="B316" s="8">
        <v>50204020</v>
      </c>
      <c r="C316" s="10">
        <f>1045200+300000</f>
        <v>1345200</v>
      </c>
      <c r="D316" s="10">
        <f>1045200+300000</f>
        <v>1345200</v>
      </c>
      <c r="E316" s="10">
        <f>1045200+294741.7</f>
        <v>1339941.7</v>
      </c>
      <c r="F316" s="10">
        <f t="shared" si="26"/>
        <v>0</v>
      </c>
      <c r="G316" s="10">
        <f t="shared" si="27"/>
        <v>5258.3000000000466</v>
      </c>
    </row>
    <row r="317" spans="1:7" x14ac:dyDescent="0.25">
      <c r="A317" s="5" t="s">
        <v>52</v>
      </c>
      <c r="B317" s="8">
        <v>50205020</v>
      </c>
      <c r="C317" s="10">
        <v>42000</v>
      </c>
      <c r="D317" s="10">
        <v>42000</v>
      </c>
      <c r="E317" s="10">
        <v>42000</v>
      </c>
      <c r="F317" s="10">
        <f t="shared" si="26"/>
        <v>0</v>
      </c>
      <c r="G317" s="10">
        <f t="shared" si="27"/>
        <v>0</v>
      </c>
    </row>
    <row r="318" spans="1:7" x14ac:dyDescent="0.25">
      <c r="A318" s="5" t="s">
        <v>78</v>
      </c>
      <c r="B318" s="8">
        <v>50205030</v>
      </c>
      <c r="C318" s="10">
        <v>46000</v>
      </c>
      <c r="D318" s="10">
        <v>46000</v>
      </c>
      <c r="E318" s="10">
        <v>42000</v>
      </c>
      <c r="F318" s="10">
        <f t="shared" si="26"/>
        <v>0</v>
      </c>
      <c r="G318" s="10">
        <f t="shared" si="27"/>
        <v>4000</v>
      </c>
    </row>
    <row r="319" spans="1:7" x14ac:dyDescent="0.25">
      <c r="A319" s="5" t="s">
        <v>87</v>
      </c>
      <c r="B319" s="8">
        <v>50212010</v>
      </c>
      <c r="C319" s="10">
        <v>100000</v>
      </c>
      <c r="D319" s="10">
        <v>100000</v>
      </c>
      <c r="E319" s="10">
        <v>100000</v>
      </c>
      <c r="F319" s="10">
        <f t="shared" si="26"/>
        <v>0</v>
      </c>
      <c r="G319" s="10">
        <f t="shared" si="27"/>
        <v>0</v>
      </c>
    </row>
    <row r="320" spans="1:7" x14ac:dyDescent="0.25">
      <c r="A320" s="5" t="s">
        <v>53</v>
      </c>
      <c r="B320" s="8">
        <v>50212990</v>
      </c>
      <c r="C320" s="10">
        <f>14325672+17765000+7438300</f>
        <v>39528972</v>
      </c>
      <c r="D320" s="10">
        <f>14325672+17765000+7438300</f>
        <v>39528972</v>
      </c>
      <c r="E320" s="10">
        <f>14288609.05+16154361.29+1313590.09</f>
        <v>31756560.43</v>
      </c>
      <c r="F320" s="10">
        <f t="shared" si="26"/>
        <v>0</v>
      </c>
      <c r="G320" s="10">
        <f t="shared" si="27"/>
        <v>7772411.5700000003</v>
      </c>
    </row>
    <row r="321" spans="1:7" x14ac:dyDescent="0.25">
      <c r="A321" s="5" t="s">
        <v>53</v>
      </c>
      <c r="B321" s="8">
        <v>50212990</v>
      </c>
      <c r="C321" s="10">
        <v>2500000</v>
      </c>
      <c r="D321" s="10">
        <v>2500000</v>
      </c>
      <c r="E321" s="10">
        <v>1904000</v>
      </c>
      <c r="F321" s="10">
        <f t="shared" si="26"/>
        <v>0</v>
      </c>
      <c r="G321" s="10">
        <f t="shared" si="27"/>
        <v>596000</v>
      </c>
    </row>
    <row r="322" spans="1:7" x14ac:dyDescent="0.25">
      <c r="A322" s="5" t="s">
        <v>80</v>
      </c>
      <c r="B322" s="8">
        <v>50213040</v>
      </c>
      <c r="C322" s="10">
        <f>100000+400000</f>
        <v>500000</v>
      </c>
      <c r="D322" s="10">
        <f>100000+400000</f>
        <v>500000</v>
      </c>
      <c r="E322" s="10">
        <f>96300+399892</f>
        <v>496192</v>
      </c>
      <c r="F322" s="10">
        <f t="shared" si="26"/>
        <v>0</v>
      </c>
      <c r="G322" s="10">
        <f t="shared" si="27"/>
        <v>3808</v>
      </c>
    </row>
    <row r="323" spans="1:7" x14ac:dyDescent="0.25">
      <c r="A323" s="5" t="s">
        <v>82</v>
      </c>
      <c r="B323" s="8">
        <v>50213050</v>
      </c>
      <c r="C323" s="10">
        <v>100000</v>
      </c>
      <c r="D323" s="10">
        <v>100000</v>
      </c>
      <c r="E323" s="10">
        <v>80000</v>
      </c>
      <c r="F323" s="10">
        <f t="shared" si="26"/>
        <v>0</v>
      </c>
      <c r="G323" s="10">
        <f t="shared" si="27"/>
        <v>20000</v>
      </c>
    </row>
    <row r="324" spans="1:7" x14ac:dyDescent="0.25">
      <c r="A324" s="5" t="s">
        <v>84</v>
      </c>
      <c r="B324" s="8">
        <v>50213050</v>
      </c>
      <c r="C324" s="10">
        <v>5000</v>
      </c>
      <c r="D324" s="10">
        <v>5000</v>
      </c>
      <c r="E324" s="10">
        <v>0</v>
      </c>
      <c r="F324" s="10">
        <f t="shared" si="26"/>
        <v>0</v>
      </c>
      <c r="G324" s="10">
        <f t="shared" si="27"/>
        <v>5000</v>
      </c>
    </row>
    <row r="325" spans="1:7" x14ac:dyDescent="0.25">
      <c r="A325" s="5" t="s">
        <v>54</v>
      </c>
      <c r="B325" s="8">
        <v>50213050</v>
      </c>
      <c r="C325" s="10">
        <v>20000</v>
      </c>
      <c r="D325" s="10">
        <v>20000</v>
      </c>
      <c r="E325" s="10">
        <v>0</v>
      </c>
      <c r="F325" s="10">
        <f t="shared" si="26"/>
        <v>0</v>
      </c>
      <c r="G325" s="10">
        <f t="shared" si="27"/>
        <v>20000</v>
      </c>
    </row>
    <row r="326" spans="1:7" x14ac:dyDescent="0.25">
      <c r="A326" s="5" t="s">
        <v>55</v>
      </c>
      <c r="B326" s="8">
        <v>50213060</v>
      </c>
      <c r="C326" s="10">
        <v>600000</v>
      </c>
      <c r="D326" s="10">
        <v>600000</v>
      </c>
      <c r="E326" s="10">
        <v>543970</v>
      </c>
      <c r="F326" s="10">
        <f t="shared" si="26"/>
        <v>0</v>
      </c>
      <c r="G326" s="10">
        <f t="shared" si="27"/>
        <v>56030</v>
      </c>
    </row>
    <row r="327" spans="1:7" x14ac:dyDescent="0.25">
      <c r="A327" s="5" t="s">
        <v>56</v>
      </c>
      <c r="B327" s="8">
        <v>50216010</v>
      </c>
      <c r="C327" s="10">
        <f>150000+50000</f>
        <v>200000</v>
      </c>
      <c r="D327" s="10">
        <f>150000+50000</f>
        <v>200000</v>
      </c>
      <c r="E327" s="10">
        <f>150000+8121</f>
        <v>158121</v>
      </c>
      <c r="F327" s="10">
        <f t="shared" si="26"/>
        <v>0</v>
      </c>
      <c r="G327" s="10">
        <f t="shared" si="27"/>
        <v>41879</v>
      </c>
    </row>
    <row r="328" spans="1:7" x14ac:dyDescent="0.25">
      <c r="A328" s="5" t="s">
        <v>57</v>
      </c>
      <c r="B328" s="8">
        <v>50216020</v>
      </c>
      <c r="C328" s="10">
        <f>20000+30000</f>
        <v>50000</v>
      </c>
      <c r="D328" s="10">
        <f>20000+30000</f>
        <v>50000</v>
      </c>
      <c r="E328" s="10">
        <f>20000+22500</f>
        <v>42500</v>
      </c>
      <c r="F328" s="10">
        <f t="shared" si="26"/>
        <v>0</v>
      </c>
      <c r="G328" s="10">
        <f t="shared" si="27"/>
        <v>7500</v>
      </c>
    </row>
    <row r="329" spans="1:7" x14ac:dyDescent="0.25">
      <c r="A329" s="5" t="s">
        <v>86</v>
      </c>
      <c r="B329" s="8">
        <v>50299060</v>
      </c>
      <c r="C329" s="10">
        <v>1000</v>
      </c>
      <c r="D329" s="10">
        <v>1000</v>
      </c>
      <c r="E329" s="10">
        <v>0</v>
      </c>
      <c r="F329" s="10">
        <f t="shared" si="26"/>
        <v>0</v>
      </c>
      <c r="G329" s="10">
        <f t="shared" si="27"/>
        <v>1000</v>
      </c>
    </row>
    <row r="330" spans="1:7" x14ac:dyDescent="0.25">
      <c r="A330" s="6"/>
      <c r="B330" s="9"/>
      <c r="C330" s="11"/>
      <c r="D330" s="11"/>
      <c r="E330" s="11"/>
      <c r="F330" s="11"/>
      <c r="G330" s="11"/>
    </row>
    <row r="331" spans="1:7" s="6" customFormat="1" x14ac:dyDescent="0.25">
      <c r="A331" s="6" t="s">
        <v>61</v>
      </c>
      <c r="B331" s="9">
        <v>300</v>
      </c>
      <c r="C331" s="11">
        <v>7536600</v>
      </c>
      <c r="D331" s="11">
        <v>7536600</v>
      </c>
      <c r="E331" s="11">
        <v>0</v>
      </c>
      <c r="F331" s="11">
        <f t="shared" ref="F331:G334" si="28">C331-D331</f>
        <v>0</v>
      </c>
      <c r="G331" s="11">
        <f t="shared" si="28"/>
        <v>7536600</v>
      </c>
    </row>
    <row r="332" spans="1:7" x14ac:dyDescent="0.25">
      <c r="A332" s="5" t="s">
        <v>109</v>
      </c>
      <c r="B332" s="8">
        <v>10705110</v>
      </c>
      <c r="C332" s="10">
        <v>2500000</v>
      </c>
      <c r="D332" s="10">
        <v>2500000</v>
      </c>
      <c r="E332" s="10">
        <v>0</v>
      </c>
      <c r="F332" s="10">
        <f t="shared" si="28"/>
        <v>0</v>
      </c>
      <c r="G332" s="10">
        <f t="shared" si="28"/>
        <v>2500000</v>
      </c>
    </row>
    <row r="333" spans="1:7" x14ac:dyDescent="0.25">
      <c r="A333" s="5" t="s">
        <v>99</v>
      </c>
      <c r="B333" s="8">
        <v>10705110</v>
      </c>
      <c r="C333" s="10">
        <v>3036600</v>
      </c>
      <c r="D333" s="10">
        <v>3036600</v>
      </c>
      <c r="E333" s="10">
        <v>0</v>
      </c>
      <c r="F333" s="10">
        <f t="shared" si="28"/>
        <v>0</v>
      </c>
      <c r="G333" s="10">
        <f t="shared" si="28"/>
        <v>3036600</v>
      </c>
    </row>
    <row r="334" spans="1:7" x14ac:dyDescent="0.25">
      <c r="A334" s="5" t="s">
        <v>100</v>
      </c>
      <c r="B334" s="8">
        <v>10706010</v>
      </c>
      <c r="C334" s="10">
        <v>2000000</v>
      </c>
      <c r="D334" s="10">
        <v>2000000</v>
      </c>
      <c r="E334" s="10">
        <v>0</v>
      </c>
      <c r="F334" s="10">
        <f t="shared" si="28"/>
        <v>0</v>
      </c>
      <c r="G334" s="10">
        <f t="shared" si="28"/>
        <v>2000000</v>
      </c>
    </row>
    <row r="339" spans="1:7" x14ac:dyDescent="0.25">
      <c r="A339" s="5" t="s">
        <v>115</v>
      </c>
      <c r="B339" s="5" t="s">
        <v>116</v>
      </c>
      <c r="C339" s="17"/>
      <c r="D339" s="17"/>
      <c r="E339" s="10" t="s">
        <v>117</v>
      </c>
      <c r="F339" s="17"/>
      <c r="G339" s="17"/>
    </row>
    <row r="340" spans="1:7" x14ac:dyDescent="0.25">
      <c r="C340" s="17"/>
      <c r="D340" s="17"/>
      <c r="E340" s="5"/>
      <c r="F340" s="17"/>
      <c r="G340" s="17"/>
    </row>
    <row r="341" spans="1:7" x14ac:dyDescent="0.25">
      <c r="C341" s="17"/>
      <c r="D341" s="17"/>
      <c r="E341" s="5"/>
      <c r="F341" s="17"/>
      <c r="G341" s="17"/>
    </row>
    <row r="342" spans="1:7" x14ac:dyDescent="0.25">
      <c r="C342" s="17"/>
      <c r="D342" s="17"/>
      <c r="E342" s="5"/>
      <c r="F342" s="17"/>
      <c r="G342" s="17"/>
    </row>
    <row r="343" spans="1:7" x14ac:dyDescent="0.25">
      <c r="A343" s="6" t="s">
        <v>118</v>
      </c>
      <c r="B343" s="6" t="s">
        <v>119</v>
      </c>
      <c r="C343" s="17"/>
      <c r="D343" s="17"/>
      <c r="E343" s="11" t="s">
        <v>120</v>
      </c>
      <c r="F343" s="17"/>
      <c r="G343" s="17"/>
    </row>
    <row r="344" spans="1:7" x14ac:dyDescent="0.25">
      <c r="A344" s="5" t="s">
        <v>121</v>
      </c>
      <c r="B344" s="5" t="s">
        <v>122</v>
      </c>
      <c r="C344" s="17"/>
      <c r="D344" s="17"/>
      <c r="E344" s="10" t="s">
        <v>123</v>
      </c>
      <c r="F344" s="17"/>
      <c r="G344" s="17"/>
    </row>
    <row r="345" spans="1:7" x14ac:dyDescent="0.25">
      <c r="C345" s="17"/>
      <c r="D345" s="17"/>
      <c r="E345" s="5"/>
      <c r="F345" s="17"/>
      <c r="G345" s="17"/>
    </row>
    <row r="346" spans="1:7" x14ac:dyDescent="0.25">
      <c r="C346" s="17"/>
      <c r="D346" s="17"/>
      <c r="E346" s="5"/>
      <c r="F346" s="17"/>
      <c r="G346" s="17"/>
    </row>
    <row r="347" spans="1:7" x14ac:dyDescent="0.25">
      <c r="C347" s="17"/>
      <c r="D347" s="17"/>
      <c r="E347" s="5"/>
      <c r="F347" s="17"/>
      <c r="G347" s="17"/>
    </row>
    <row r="348" spans="1:7" x14ac:dyDescent="0.25">
      <c r="C348" s="17"/>
      <c r="D348" s="17"/>
      <c r="E348" s="5"/>
      <c r="F348" s="17"/>
      <c r="G348" s="17"/>
    </row>
  </sheetData>
  <mergeCells count="5">
    <mergeCell ref="A1:G1"/>
    <mergeCell ref="A2:G2"/>
    <mergeCell ref="A3:G3"/>
    <mergeCell ref="A5:G5"/>
    <mergeCell ref="A6:G6"/>
  </mergeCells>
  <pageMargins left="0.95" right="0" top="1" bottom="0.75" header="0.3" footer="0.3"/>
  <pageSetup paperSize="9" scale="85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2026-01-20T07:23:31Z</cp:lastPrinted>
  <dcterms:created xsi:type="dcterms:W3CDTF">2026-01-20T06:36:26Z</dcterms:created>
  <dcterms:modified xsi:type="dcterms:W3CDTF">2026-01-20T08:10:14Z</dcterms:modified>
</cp:coreProperties>
</file>